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cunningham/Desktop/"/>
    </mc:Choice>
  </mc:AlternateContent>
  <xr:revisionPtr revIDLastSave="0" documentId="13_ncr:1_{BCDFE0B0-65B8-A642-8DAE-9EA8B0B68E9D}" xr6:coauthVersionLast="47" xr6:coauthVersionMax="47" xr10:uidLastSave="{00000000-0000-0000-0000-000000000000}"/>
  <bookViews>
    <workbookView xWindow="0" yWindow="500" windowWidth="31480" windowHeight="17220" xr2:uid="{00000000-000D-0000-FFFF-FFFF00000000}"/>
  </bookViews>
  <sheets>
    <sheet name="22-23 Draft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2" l="1"/>
  <c r="L9" i="2"/>
  <c r="L7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9" i="2"/>
  <c r="K20" i="2"/>
  <c r="I21" i="2"/>
  <c r="J21" i="2"/>
  <c r="K3" i="2"/>
  <c r="W48" i="3"/>
  <c r="V48" i="3"/>
  <c r="S48" i="3"/>
  <c r="Q48" i="3"/>
  <c r="F48" i="3"/>
  <c r="D48" i="3"/>
  <c r="C48" i="3"/>
  <c r="B48" i="3"/>
  <c r="P47" i="3"/>
  <c r="T47" i="3" s="1"/>
  <c r="U47" i="3" s="1"/>
  <c r="O47" i="3"/>
  <c r="G46" i="3"/>
  <c r="G48" i="3" s="1"/>
  <c r="F46" i="3"/>
  <c r="E46" i="3"/>
  <c r="P46" i="3" s="1"/>
  <c r="T46" i="3" s="1"/>
  <c r="U46" i="3" s="1"/>
  <c r="E45" i="3"/>
  <c r="P45" i="3" s="1"/>
  <c r="T45" i="3" s="1"/>
  <c r="U45" i="3" s="1"/>
  <c r="N44" i="3"/>
  <c r="N48" i="3" s="1"/>
  <c r="M44" i="3"/>
  <c r="M48" i="3" s="1"/>
  <c r="L44" i="3"/>
  <c r="L48" i="3" s="1"/>
  <c r="K44" i="3"/>
  <c r="P44" i="3" s="1"/>
  <c r="T44" i="3" s="1"/>
  <c r="U44" i="3" s="1"/>
  <c r="J43" i="3"/>
  <c r="J48" i="3" s="1"/>
  <c r="I43" i="3"/>
  <c r="I48" i="3" s="1"/>
  <c r="H43" i="3"/>
  <c r="O43" i="3" s="1"/>
  <c r="P42" i="3"/>
  <c r="T42" i="3" s="1"/>
  <c r="U42" i="3" s="1"/>
  <c r="O42" i="3"/>
  <c r="P41" i="3"/>
  <c r="T41" i="3" s="1"/>
  <c r="U41" i="3" s="1"/>
  <c r="O41" i="3"/>
  <c r="P40" i="3"/>
  <c r="O40" i="3"/>
  <c r="P39" i="3"/>
  <c r="T39" i="3" s="1"/>
  <c r="U39" i="3" s="1"/>
  <c r="O39" i="3"/>
  <c r="P38" i="3"/>
  <c r="T38" i="3" s="1"/>
  <c r="U38" i="3" s="1"/>
  <c r="O38" i="3"/>
  <c r="P37" i="3"/>
  <c r="T37" i="3" s="1"/>
  <c r="U37" i="3" s="1"/>
  <c r="O37" i="3"/>
  <c r="P36" i="3"/>
  <c r="T36" i="3" s="1"/>
  <c r="U36" i="3" s="1"/>
  <c r="O36" i="3"/>
  <c r="P35" i="3"/>
  <c r="T35" i="3" s="1"/>
  <c r="U35" i="3" s="1"/>
  <c r="O35" i="3"/>
  <c r="P34" i="3"/>
  <c r="T34" i="3" s="1"/>
  <c r="U34" i="3" s="1"/>
  <c r="O34" i="3"/>
  <c r="U33" i="3"/>
  <c r="T33" i="3"/>
  <c r="P33" i="3"/>
  <c r="O33" i="3"/>
  <c r="P32" i="3"/>
  <c r="T32" i="3" s="1"/>
  <c r="U32" i="3" s="1"/>
  <c r="O32" i="3"/>
  <c r="R31" i="3"/>
  <c r="R48" i="3" s="1"/>
  <c r="R49" i="3" s="1"/>
  <c r="P31" i="3"/>
  <c r="T31" i="3" s="1"/>
  <c r="U31" i="3" s="1"/>
  <c r="O31" i="3"/>
  <c r="P30" i="3"/>
  <c r="T30" i="3" s="1"/>
  <c r="O30" i="3"/>
  <c r="W21" i="3"/>
  <c r="V21" i="3"/>
  <c r="S21" i="3"/>
  <c r="R21" i="3"/>
  <c r="Q21" i="3"/>
  <c r="J21" i="3"/>
  <c r="F21" i="3"/>
  <c r="D21" i="3"/>
  <c r="C21" i="3"/>
  <c r="B21" i="3"/>
  <c r="P20" i="3"/>
  <c r="T20" i="3" s="1"/>
  <c r="U20" i="3" s="1"/>
  <c r="O20" i="3"/>
  <c r="G19" i="3"/>
  <c r="G21" i="3" s="1"/>
  <c r="F19" i="3"/>
  <c r="E19" i="3"/>
  <c r="P19" i="3" s="1"/>
  <c r="T19" i="3" s="1"/>
  <c r="U19" i="3" s="1"/>
  <c r="P18" i="3"/>
  <c r="T18" i="3" s="1"/>
  <c r="U18" i="3" s="1"/>
  <c r="O18" i="3"/>
  <c r="N17" i="3"/>
  <c r="N21" i="3" s="1"/>
  <c r="M17" i="3"/>
  <c r="M21" i="3" s="1"/>
  <c r="L17" i="3"/>
  <c r="L21" i="3" s="1"/>
  <c r="K17" i="3"/>
  <c r="O17" i="3" s="1"/>
  <c r="I16" i="3"/>
  <c r="I21" i="3" s="1"/>
  <c r="H16" i="3"/>
  <c r="H21" i="3" s="1"/>
  <c r="P15" i="3"/>
  <c r="T15" i="3" s="1"/>
  <c r="U15" i="3" s="1"/>
  <c r="O15" i="3"/>
  <c r="P14" i="3"/>
  <c r="T14" i="3" s="1"/>
  <c r="U14" i="3" s="1"/>
  <c r="O14" i="3"/>
  <c r="P13" i="3"/>
  <c r="O13" i="3"/>
  <c r="N12" i="3"/>
  <c r="P12" i="3" s="1"/>
  <c r="T12" i="3" s="1"/>
  <c r="U12" i="3" s="1"/>
  <c r="P11" i="3"/>
  <c r="T11" i="3" s="1"/>
  <c r="U11" i="3" s="1"/>
  <c r="O11" i="3"/>
  <c r="P10" i="3"/>
  <c r="T10" i="3" s="1"/>
  <c r="U10" i="3" s="1"/>
  <c r="O10" i="3"/>
  <c r="P9" i="3"/>
  <c r="T9" i="3" s="1"/>
  <c r="U9" i="3" s="1"/>
  <c r="O9" i="3"/>
  <c r="P8" i="3"/>
  <c r="T8" i="3" s="1"/>
  <c r="U8" i="3" s="1"/>
  <c r="O8" i="3"/>
  <c r="P7" i="3"/>
  <c r="T7" i="3" s="1"/>
  <c r="U7" i="3" s="1"/>
  <c r="O7" i="3"/>
  <c r="P6" i="3"/>
  <c r="T6" i="3" s="1"/>
  <c r="U6" i="3" s="1"/>
  <c r="O6" i="3"/>
  <c r="P5" i="3"/>
  <c r="O5" i="3"/>
  <c r="T4" i="3"/>
  <c r="U4" i="3" s="1"/>
  <c r="P4" i="3"/>
  <c r="O4" i="3"/>
  <c r="P3" i="3"/>
  <c r="T3" i="3" s="1"/>
  <c r="O3" i="3"/>
  <c r="E21" i="3" l="1"/>
  <c r="K21" i="2"/>
  <c r="O19" i="3"/>
  <c r="O21" i="3" s="1"/>
  <c r="Q49" i="3"/>
  <c r="S49" i="3"/>
  <c r="U3" i="3"/>
  <c r="U30" i="3"/>
  <c r="E48" i="3"/>
  <c r="K21" i="3"/>
  <c r="P43" i="3"/>
  <c r="T5" i="3"/>
  <c r="U5" i="3" s="1"/>
  <c r="P17" i="3"/>
  <c r="T17" i="3" s="1"/>
  <c r="U17" i="3" s="1"/>
  <c r="H48" i="3"/>
  <c r="O46" i="3"/>
  <c r="K48" i="3"/>
  <c r="O45" i="3"/>
  <c r="O12" i="3"/>
  <c r="O16" i="3"/>
  <c r="P16" i="3"/>
  <c r="T16" i="3" s="1"/>
  <c r="U16" i="3" s="1"/>
  <c r="O44" i="3"/>
  <c r="O48" i="3" s="1"/>
  <c r="O50" i="3" l="1"/>
  <c r="O49" i="3"/>
  <c r="T43" i="3"/>
  <c r="P48" i="3"/>
  <c r="P21" i="3"/>
  <c r="P22" i="3" s="1"/>
  <c r="T21" i="3"/>
  <c r="U21" i="3" s="1"/>
  <c r="U22" i="3" s="1"/>
  <c r="P49" i="3" l="1"/>
  <c r="U43" i="3"/>
  <c r="T48" i="3"/>
  <c r="T49" i="3" l="1"/>
  <c r="U48" i="3"/>
  <c r="U49" i="3" s="1"/>
  <c r="L21" i="2" l="1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<sst xmlns="http://schemas.openxmlformats.org/spreadsheetml/2006/main" count="239" uniqueCount="117">
  <si>
    <t>City:</t>
  </si>
  <si>
    <t>School:</t>
  </si>
  <si>
    <t>Address:</t>
  </si>
  <si>
    <t>Age:</t>
  </si>
  <si>
    <t>Year Built:</t>
  </si>
  <si>
    <t>Recreation Academy</t>
  </si>
  <si>
    <t>Net Capacity:</t>
  </si>
  <si>
    <t>Modulars:</t>
  </si>
  <si>
    <t>St. Albert</t>
  </si>
  <si>
    <t>AL</t>
  </si>
  <si>
    <t>50 Gainsborough Avenue</t>
  </si>
  <si>
    <t>BK</t>
  </si>
  <si>
    <t>175 Larose Drive</t>
  </si>
  <si>
    <t>EFJ</t>
  </si>
  <si>
    <t>15 Mission Avenue</t>
  </si>
  <si>
    <t>EMP</t>
  </si>
  <si>
    <t>100 Sir Winston Churchill Avenue</t>
  </si>
  <si>
    <t>Morinville</t>
  </si>
  <si>
    <t>END</t>
  </si>
  <si>
    <t>9717 Morinville Drive</t>
  </si>
  <si>
    <t>ESSMY</t>
  </si>
  <si>
    <t>51 Boudreau Road</t>
  </si>
  <si>
    <t>GHP</t>
  </si>
  <si>
    <t>811 Grandin Drive</t>
  </si>
  <si>
    <t>HF</t>
  </si>
  <si>
    <t>39 Sunset Boulevard</t>
  </si>
  <si>
    <t>JJN</t>
  </si>
  <si>
    <t>196 Deer Ridge Drive</t>
  </si>
  <si>
    <t>Legal</t>
  </si>
  <si>
    <t>LGL</t>
  </si>
  <si>
    <t>5122 - 46 Street</t>
  </si>
  <si>
    <t>MCHS</t>
  </si>
  <si>
    <t>9506 100 Avenue</t>
  </si>
  <si>
    <t>NMR</t>
  </si>
  <si>
    <t>60 Woodlands Road</t>
  </si>
  <si>
    <t>RSF</t>
  </si>
  <si>
    <t>65 Sir Winston Churchill Avenue</t>
  </si>
  <si>
    <t>SAA</t>
  </si>
  <si>
    <t>1 Joyal Way</t>
  </si>
  <si>
    <t>SACHS</t>
  </si>
  <si>
    <t>33 Malmo Avenue</t>
  </si>
  <si>
    <t>SGEC</t>
  </si>
  <si>
    <t>SKTA</t>
  </si>
  <si>
    <t>980 Westwinds Drive</t>
  </si>
  <si>
    <t>VJM</t>
  </si>
  <si>
    <t>20 Mont Clare Place</t>
  </si>
  <si>
    <t>Division</t>
  </si>
  <si>
    <t>21-22 Utilization Report with September 30, 2021  Enrolment Count and revised net capacity</t>
  </si>
  <si>
    <t>Funded ECS</t>
  </si>
  <si>
    <t>Total K-12</t>
  </si>
  <si>
    <t>Total 1-12</t>
  </si>
  <si>
    <t>Severe ECS</t>
  </si>
  <si>
    <t>Severe 1-12</t>
  </si>
  <si>
    <t>*Net Capacity</t>
  </si>
  <si>
    <t>Adjusted Enrolment</t>
  </si>
  <si>
    <t>Revised 21-22</t>
  </si>
  <si>
    <t>Utilization 21-22</t>
  </si>
  <si>
    <t>Utilization 20-21</t>
  </si>
  <si>
    <t>checked</t>
  </si>
  <si>
    <t>checked;incl. 6 online students</t>
  </si>
  <si>
    <t>checked; incl. 5 FN students</t>
  </si>
  <si>
    <t xml:space="preserve"> </t>
  </si>
  <si>
    <t>checked; incl. 7 FN and 5 online students</t>
  </si>
  <si>
    <t>ND</t>
  </si>
  <si>
    <t>SKT</t>
  </si>
  <si>
    <t>As per AB Ed Report</t>
  </si>
  <si>
    <t>Assumptions:</t>
  </si>
  <si>
    <r>
      <rPr>
        <b/>
        <sz val="10"/>
        <color theme="1"/>
        <rFont val="Aller Light"/>
        <family val="2"/>
      </rPr>
      <t>Alberta Infastructure Utilization Calculation</t>
    </r>
    <r>
      <rPr>
        <sz val="10"/>
        <color theme="1"/>
        <rFont val="Aller Light"/>
        <family val="2"/>
      </rPr>
      <t xml:space="preserve"> = ((ECS - ECS Sp. Ed. Severe) * 0.5) + (ECS Sp. Ed. Severe * 1.5) + (Gr.1-12 - Gr.1-12 Sp. Ed. Severe) + (Gr.1-12 Sp. Ed. Severe * 3)</t>
    </r>
  </si>
  <si>
    <t>This  includes Alexander students and shared online students</t>
  </si>
  <si>
    <t>Utilization and Adjusted Enrolment do not include SGEC</t>
  </si>
  <si>
    <t>22-23 Utilization Report with September 30, 2022  Enrolment Count</t>
  </si>
  <si>
    <t>Estimated 22-23</t>
  </si>
  <si>
    <t>Change</t>
  </si>
  <si>
    <t>FTE</t>
  </si>
  <si>
    <t>English</t>
  </si>
  <si>
    <t>French Immersion</t>
  </si>
  <si>
    <t>Language</t>
  </si>
  <si>
    <t>22-23 Utilization:</t>
  </si>
  <si>
    <t>Specialty Programs</t>
  </si>
  <si>
    <t>Sports Academy</t>
  </si>
  <si>
    <t>Recreation and Sports Academy</t>
  </si>
  <si>
    <t>Online and Hybrid Programming</t>
  </si>
  <si>
    <t xml:space="preserve"> Adjusted Enrolment</t>
  </si>
  <si>
    <t>English and French Immersion</t>
  </si>
  <si>
    <t>Albert Lacombe Catholic School</t>
  </si>
  <si>
    <t>Bertha Kennedy Catholic School</t>
  </si>
  <si>
    <t>Ecole Father Jan</t>
  </si>
  <si>
    <t>Ecole Marie Poburan</t>
  </si>
  <si>
    <t>Ecole Secondaire St. Albert Catholic High School</t>
  </si>
  <si>
    <t>Ecole Georges H. Primeau Middle School</t>
  </si>
  <si>
    <t>Holy Family Catholic School</t>
  </si>
  <si>
    <t>J. J. Nearing Catholic Elementary School</t>
  </si>
  <si>
    <t>Legal School</t>
  </si>
  <si>
    <t>Morinville Community High School</t>
  </si>
  <si>
    <t>Neil M. Ross Catholic School</t>
  </si>
  <si>
    <t>Richard S. Fowler Catholic Jr.  High School</t>
  </si>
  <si>
    <t>Sister Alphonse Academy</t>
  </si>
  <si>
    <t>Ecole Secondaire Saint Marguerite d'Youville</t>
  </si>
  <si>
    <t>St. Gabriel Education Centre</t>
  </si>
  <si>
    <t>St. Kateri Tekakwitha Academy</t>
  </si>
  <si>
    <t>Vincent J. Maloney Catholic Jr. High School</t>
  </si>
  <si>
    <t>Grades</t>
  </si>
  <si>
    <t>K-6</t>
  </si>
  <si>
    <t>PreK-6</t>
  </si>
  <si>
    <t>6-8</t>
  </si>
  <si>
    <t>Ecole Notre Dame Elementary School</t>
  </si>
  <si>
    <t>K-5</t>
  </si>
  <si>
    <t>7-9</t>
  </si>
  <si>
    <t>PreK-9</t>
  </si>
  <si>
    <t>9-12</t>
  </si>
  <si>
    <t>K-9</t>
  </si>
  <si>
    <t>10-12</t>
  </si>
  <si>
    <t>7-12</t>
  </si>
  <si>
    <t>PreK-5</t>
  </si>
  <si>
    <t>n/a</t>
  </si>
  <si>
    <t>Hockey and Cheer Academy</t>
  </si>
  <si>
    <t>Hockey Academy and Wellness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</si>
</sst>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##0;###0"/>
    <numFmt numFmtId="165" formatCode="0.0%"/>
  </numFmts>
  <fonts count="1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6"/>
      <color theme="1"/>
      <name val="Aller Light"/>
      <family val="2"/>
    </font>
    <font>
      <sz val="11"/>
      <color theme="1"/>
      <name val="Aller Light"/>
      <family val="2"/>
    </font>
    <font>
      <sz val="10"/>
      <color theme="1"/>
      <name val="Aller Light"/>
      <family val="2"/>
    </font>
    <font>
      <b/>
      <sz val="10"/>
      <color rgb="FF000000"/>
      <name val="Aller Light"/>
      <family val="2"/>
    </font>
    <font>
      <b/>
      <sz val="10"/>
      <color theme="1"/>
      <name val="Aller Light"/>
      <family val="2"/>
    </font>
    <font>
      <sz val="10"/>
      <name val="Aller Light"/>
      <family val="2"/>
    </font>
    <font>
      <sz val="8"/>
      <color theme="1"/>
      <name val="Aller Light"/>
      <family val="2"/>
    </font>
    <font>
      <b/>
      <strike/>
      <sz val="10"/>
      <color theme="1"/>
      <name val="Aller Light"/>
      <family val="2"/>
    </font>
    <font>
      <b/>
      <sz val="10"/>
      <name val="Aller Light"/>
      <family val="2"/>
    </font>
    <font>
      <sz val="10"/>
      <color theme="0" tint="-0.499984740745262"/>
      <name val="Arial"/>
      <family val="2"/>
      <scheme val="minor"/>
    </font>
    <font>
      <sz val="10"/>
      <color theme="0" tint="-0.499984740745262"/>
      <name val="Aller Light"/>
      <family val="2"/>
    </font>
    <font>
      <b/>
      <sz val="9"/>
      <color theme="1"/>
      <name val="Aller Light"/>
      <family val="2"/>
    </font>
    <font>
      <b/>
      <u/>
      <sz val="10"/>
      <color theme="1"/>
      <name val="Aller Light"/>
      <family val="2"/>
    </font>
    <font>
      <b/>
      <sz val="10"/>
      <color rgb="FFFF0000"/>
      <name val="Aller Light"/>
      <family val="2"/>
    </font>
    <font>
      <sz val="10"/>
      <color theme="1"/>
      <name val="Arial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8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0" xfId="0" applyFont="1" applyFill="1" applyAlignment="1">
      <alignment horizontal="center" wrapText="1"/>
    </xf>
    <xf numFmtId="0" fontId="1" fillId="0" borderId="0" xfId="0" applyFont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9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9" fontId="1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5" fillId="0" borderId="0" xfId="0" applyFont="1"/>
    <xf numFmtId="164" fontId="6" fillId="3" borderId="2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/>
    </xf>
    <xf numFmtId="9" fontId="7" fillId="6" borderId="6" xfId="1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9" fillId="0" borderId="0" xfId="0" applyFont="1"/>
    <xf numFmtId="0" fontId="7" fillId="0" borderId="7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9" fontId="7" fillId="6" borderId="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9" fontId="7" fillId="6" borderId="8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0" fontId="14" fillId="0" borderId="0" xfId="0" applyNumberFormat="1" applyFont="1"/>
    <xf numFmtId="0" fontId="14" fillId="0" borderId="0" xfId="0" applyFont="1"/>
    <xf numFmtId="0" fontId="14" fillId="0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7" fillId="0" borderId="0" xfId="1" applyNumberFormat="1" applyFont="1" applyBorder="1" applyAlignment="1">
      <alignment horizontal="center" vertical="center"/>
    </xf>
    <xf numFmtId="0" fontId="16" fillId="0" borderId="0" xfId="0" applyFont="1"/>
    <xf numFmtId="0" fontId="7" fillId="0" borderId="0" xfId="0" applyFont="1"/>
    <xf numFmtId="10" fontId="7" fillId="6" borderId="8" xfId="1" applyNumberFormat="1" applyFont="1" applyFill="1" applyBorder="1" applyAlignment="1">
      <alignment horizontal="center" vertical="center"/>
    </xf>
    <xf numFmtId="165" fontId="7" fillId="6" borderId="8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0" fontId="7" fillId="6" borderId="0" xfId="1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left"/>
    </xf>
    <xf numFmtId="0" fontId="17" fillId="0" borderId="0" xfId="0" applyFont="1" applyAlignment="1"/>
    <xf numFmtId="16" fontId="1" fillId="0" borderId="0" xfId="0" quotePrefix="1" applyNumberFormat="1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1" xfId="0" quotePrefix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0" fontId="3" fillId="0" borderId="0" xfId="0" applyFont="1" applyAlignment="1">
      <alignment horizontal="center"/>
    </xf>
    <xf numFmtId="0" fontId="15" fillId="0" borderId="0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BDBDBD"/>
          <bgColor rgb="FFBDBDBD"/>
        </patternFill>
      </fill>
    </dxf>
  </dxfs>
  <tableStyles count="1">
    <tableStyle name="Sheet1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13" displayName="Table_13" ref="A2:L984" headerRowCount="0">
  <tableColumns count="12">
    <tableColumn id="1" xr3:uid="{00000000-0010-0000-0000-000001000000}" name="Column1"/>
    <tableColumn id="18" xr3:uid="{00000000-0010-0000-0000-000012000000}" name="Column10" dataDxfId="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8" xr3:uid="{00000000-0010-0000-0000-000008000000}" name="Column8"/>
    <tableColumn id="13" xr3:uid="{00000000-0010-0000-0000-00000D000000}" name="Column13"/>
    <tableColumn id="9" xr3:uid="{00000000-0010-0000-0000-000009000000}" name="Column9" dataDxfId="0"/>
    <tableColumn id="15" xr3:uid="{00000000-0010-0000-0000-00000F000000}" name="Column15"/>
    <tableColumn id="16" xr3:uid="{00000000-0010-0000-0000-000010000000}" name="Column16"/>
  </tableColumns>
  <tableStyleInfo name="Sheet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4"/>
  <sheetViews>
    <sheetView tabSelected="1" zoomScale="142" zoomScaleNormal="142" workbookViewId="0">
      <selection activeCell="M26" sqref="M26"/>
    </sheetView>
  </sheetViews>
  <sheetFormatPr baseColWidth="10" defaultColWidth="12.5" defaultRowHeight="13" x14ac:dyDescent="0.15"/>
  <cols>
    <col min="1" max="1" width="11.1640625" customWidth="1"/>
    <col min="2" max="2" width="29.5" customWidth="1"/>
    <col min="3" max="3" width="10.5" customWidth="1"/>
    <col min="4" max="4" width="29.1640625" hidden="1" customWidth="1"/>
    <col min="5" max="5" width="8.83203125" customWidth="1"/>
    <col min="6" max="6" width="9.33203125" customWidth="1"/>
    <col min="7" max="7" width="9" customWidth="1"/>
    <col min="8" max="8" width="27.1640625" bestFit="1" customWidth="1"/>
    <col min="12" max="12" width="9.33203125" customWidth="1"/>
    <col min="13" max="13" width="28.83203125" bestFit="1" customWidth="1"/>
  </cols>
  <sheetData>
    <row r="1" spans="1:13" ht="15.75" customHeight="1" x14ac:dyDescent="0.15"/>
    <row r="2" spans="1:13" ht="48.75" customHeight="1" x14ac:dyDescent="0.15">
      <c r="A2" s="3" t="s">
        <v>0</v>
      </c>
      <c r="B2" s="3"/>
      <c r="C2" s="3" t="s">
        <v>1</v>
      </c>
      <c r="D2" s="3" t="s">
        <v>2</v>
      </c>
      <c r="E2" s="3" t="s">
        <v>3</v>
      </c>
      <c r="F2" s="1" t="s">
        <v>4</v>
      </c>
      <c r="G2" s="3" t="s">
        <v>101</v>
      </c>
      <c r="H2" s="65" t="s">
        <v>76</v>
      </c>
      <c r="I2" s="3" t="s">
        <v>6</v>
      </c>
      <c r="J2" s="3" t="s">
        <v>82</v>
      </c>
      <c r="K2" s="3" t="s">
        <v>77</v>
      </c>
      <c r="L2" s="3" t="s">
        <v>7</v>
      </c>
      <c r="M2" s="3" t="s">
        <v>78</v>
      </c>
    </row>
    <row r="3" spans="1:13" ht="15.75" customHeight="1" x14ac:dyDescent="0.15">
      <c r="A3" s="8" t="s">
        <v>8</v>
      </c>
      <c r="B3" s="8" t="s">
        <v>84</v>
      </c>
      <c r="C3" s="7" t="s">
        <v>9</v>
      </c>
      <c r="D3" s="7" t="s">
        <v>10</v>
      </c>
      <c r="E3" s="7">
        <f t="shared" ref="E3:E17" si="0">2022-F3</f>
        <v>58</v>
      </c>
      <c r="F3" s="7">
        <v>1964</v>
      </c>
      <c r="G3" s="7" t="s">
        <v>102</v>
      </c>
      <c r="H3" s="59" t="s">
        <v>74</v>
      </c>
      <c r="I3" s="7">
        <v>396</v>
      </c>
      <c r="J3" s="7">
        <v>229.5</v>
      </c>
      <c r="K3" s="9">
        <f>Table_13[[#This Row],[Column9]]/Table_13[[#This Row],[Column13]]</f>
        <v>0.57954545454545459</v>
      </c>
      <c r="L3" s="7">
        <v>0</v>
      </c>
      <c r="M3" s="7" t="s">
        <v>79</v>
      </c>
    </row>
    <row r="4" spans="1:13" ht="15.75" customHeight="1" x14ac:dyDescent="0.15">
      <c r="A4" s="8" t="s">
        <v>8</v>
      </c>
      <c r="B4" s="8" t="s">
        <v>85</v>
      </c>
      <c r="C4" s="7" t="s">
        <v>11</v>
      </c>
      <c r="D4" s="7" t="s">
        <v>12</v>
      </c>
      <c r="E4" s="7">
        <f t="shared" si="0"/>
        <v>46</v>
      </c>
      <c r="F4" s="7">
        <v>1976</v>
      </c>
      <c r="G4" s="7" t="s">
        <v>103</v>
      </c>
      <c r="H4" s="59" t="s">
        <v>74</v>
      </c>
      <c r="I4" s="7">
        <v>347</v>
      </c>
      <c r="J4" s="7">
        <v>233</v>
      </c>
      <c r="K4" s="9">
        <f>Table_13[[#This Row],[Column9]]/Table_13[[#This Row],[Column13]]</f>
        <v>0.67146974063400577</v>
      </c>
      <c r="L4" s="7">
        <v>6</v>
      </c>
      <c r="M4" s="7"/>
    </row>
    <row r="5" spans="1:13" ht="15.75" customHeight="1" x14ac:dyDescent="0.15">
      <c r="A5" s="8" t="s">
        <v>8</v>
      </c>
      <c r="B5" s="8" t="s">
        <v>86</v>
      </c>
      <c r="C5" s="7" t="s">
        <v>13</v>
      </c>
      <c r="D5" s="7" t="s">
        <v>14</v>
      </c>
      <c r="E5" s="7">
        <f t="shared" si="0"/>
        <v>67</v>
      </c>
      <c r="F5" s="7">
        <v>1955</v>
      </c>
      <c r="G5" s="7" t="s">
        <v>102</v>
      </c>
      <c r="H5" s="59" t="s">
        <v>75</v>
      </c>
      <c r="I5" s="7">
        <v>313</v>
      </c>
      <c r="J5" s="7">
        <v>160.5</v>
      </c>
      <c r="K5" s="9">
        <f>Table_13[[#This Row],[Column9]]/Table_13[[#This Row],[Column13]]</f>
        <v>0.51277955271565501</v>
      </c>
      <c r="L5" s="7">
        <v>7</v>
      </c>
      <c r="M5" s="7" t="s">
        <v>79</v>
      </c>
    </row>
    <row r="6" spans="1:13" ht="15.75" customHeight="1" x14ac:dyDescent="0.15">
      <c r="A6" s="8" t="s">
        <v>8</v>
      </c>
      <c r="B6" s="8" t="s">
        <v>87</v>
      </c>
      <c r="C6" s="7" t="s">
        <v>15</v>
      </c>
      <c r="D6" s="7" t="s">
        <v>16</v>
      </c>
      <c r="E6" s="7">
        <f t="shared" si="0"/>
        <v>32</v>
      </c>
      <c r="F6" s="7">
        <v>1990</v>
      </c>
      <c r="G6" s="7" t="s">
        <v>102</v>
      </c>
      <c r="H6" s="59" t="s">
        <v>75</v>
      </c>
      <c r="I6" s="7">
        <v>434</v>
      </c>
      <c r="J6" s="7">
        <v>298.5</v>
      </c>
      <c r="K6" s="9">
        <f>Table_13[[#This Row],[Column9]]/Table_13[[#This Row],[Column13]]</f>
        <v>0.68778801843317972</v>
      </c>
      <c r="L6" s="7">
        <v>12</v>
      </c>
      <c r="M6" s="7" t="s">
        <v>79</v>
      </c>
    </row>
    <row r="7" spans="1:13" ht="15.75" customHeight="1" x14ac:dyDescent="0.15">
      <c r="A7" s="8" t="s">
        <v>17</v>
      </c>
      <c r="B7" s="8" t="s">
        <v>105</v>
      </c>
      <c r="C7" s="7" t="s">
        <v>18</v>
      </c>
      <c r="D7" s="7" t="s">
        <v>19</v>
      </c>
      <c r="E7" s="7">
        <f t="shared" si="0"/>
        <v>46</v>
      </c>
      <c r="F7" s="7">
        <v>1976</v>
      </c>
      <c r="G7" s="7" t="s">
        <v>106</v>
      </c>
      <c r="H7" s="59" t="s">
        <v>83</v>
      </c>
      <c r="I7" s="7">
        <v>484</v>
      </c>
      <c r="J7" s="7">
        <v>352.5</v>
      </c>
      <c r="K7" s="9">
        <f>Table_13[[#This Row],[Column9]]/Table_13[[#This Row],[Column13]]</f>
        <v>0.72830578512396693</v>
      </c>
      <c r="L7" s="7">
        <f>18-3</f>
        <v>15</v>
      </c>
      <c r="M7" s="7"/>
    </row>
    <row r="8" spans="1:13" ht="15.75" customHeight="1" x14ac:dyDescent="0.15">
      <c r="A8" s="8" t="s">
        <v>8</v>
      </c>
      <c r="B8" s="61" t="s">
        <v>97</v>
      </c>
      <c r="C8" s="7" t="s">
        <v>20</v>
      </c>
      <c r="D8" s="7" t="s">
        <v>21</v>
      </c>
      <c r="E8" s="7">
        <f t="shared" si="0"/>
        <v>31</v>
      </c>
      <c r="F8" s="7">
        <v>1991</v>
      </c>
      <c r="G8" s="63" t="s">
        <v>107</v>
      </c>
      <c r="H8" s="59" t="s">
        <v>75</v>
      </c>
      <c r="I8" s="7">
        <v>602</v>
      </c>
      <c r="J8" s="7">
        <v>229</v>
      </c>
      <c r="K8" s="9">
        <f>Table_13[[#This Row],[Column9]]/Table_13[[#This Row],[Column13]]</f>
        <v>0.38039867109634551</v>
      </c>
      <c r="L8" s="7">
        <v>10</v>
      </c>
      <c r="M8" s="7" t="s">
        <v>79</v>
      </c>
    </row>
    <row r="9" spans="1:13" ht="15.75" customHeight="1" x14ac:dyDescent="0.15">
      <c r="A9" s="8" t="s">
        <v>17</v>
      </c>
      <c r="B9" s="8" t="s">
        <v>89</v>
      </c>
      <c r="C9" s="7" t="s">
        <v>22</v>
      </c>
      <c r="D9" s="7" t="s">
        <v>23</v>
      </c>
      <c r="E9" s="7">
        <f t="shared" si="0"/>
        <v>43</v>
      </c>
      <c r="F9" s="7">
        <v>1979</v>
      </c>
      <c r="G9" s="62" t="s">
        <v>104</v>
      </c>
      <c r="H9" s="59" t="s">
        <v>83</v>
      </c>
      <c r="I9" s="7">
        <v>429</v>
      </c>
      <c r="J9" s="7">
        <v>322</v>
      </c>
      <c r="K9" s="9">
        <f>Table_13[[#This Row],[Column9]]/Table_13[[#This Row],[Column13]]</f>
        <v>0.75058275058275059</v>
      </c>
      <c r="L9" s="7">
        <f>12-6</f>
        <v>6</v>
      </c>
      <c r="M9" s="7" t="s">
        <v>115</v>
      </c>
    </row>
    <row r="10" spans="1:13" ht="15.75" customHeight="1" x14ac:dyDescent="0.15">
      <c r="A10" s="8" t="s">
        <v>8</v>
      </c>
      <c r="B10" s="8" t="s">
        <v>90</v>
      </c>
      <c r="C10" s="7" t="s">
        <v>24</v>
      </c>
      <c r="D10" s="7" t="s">
        <v>25</v>
      </c>
      <c r="E10" s="7">
        <f t="shared" si="0"/>
        <v>64</v>
      </c>
      <c r="F10" s="7">
        <v>1958</v>
      </c>
      <c r="G10" s="7" t="s">
        <v>103</v>
      </c>
      <c r="H10" s="59" t="s">
        <v>74</v>
      </c>
      <c r="I10" s="7">
        <v>444</v>
      </c>
      <c r="J10" s="7">
        <v>204</v>
      </c>
      <c r="K10" s="9">
        <f>Table_13[[#This Row],[Column9]]/Table_13[[#This Row],[Column13]]</f>
        <v>0.45945945945945948</v>
      </c>
      <c r="L10" s="7">
        <v>0</v>
      </c>
      <c r="M10" s="7" t="s">
        <v>5</v>
      </c>
    </row>
    <row r="11" spans="1:13" ht="15.75" customHeight="1" x14ac:dyDescent="0.15">
      <c r="A11" s="8" t="s">
        <v>8</v>
      </c>
      <c r="B11" s="8" t="s">
        <v>91</v>
      </c>
      <c r="C11" s="7" t="s">
        <v>26</v>
      </c>
      <c r="D11" s="7" t="s">
        <v>27</v>
      </c>
      <c r="E11" s="7">
        <f t="shared" si="0"/>
        <v>25</v>
      </c>
      <c r="F11" s="7">
        <v>1997</v>
      </c>
      <c r="G11" s="7" t="s">
        <v>102</v>
      </c>
      <c r="H11" s="59" t="s">
        <v>74</v>
      </c>
      <c r="I11" s="7">
        <v>521</v>
      </c>
      <c r="J11" s="7">
        <v>373.5</v>
      </c>
      <c r="K11" s="9">
        <f>Table_13[[#This Row],[Column9]]/Table_13[[#This Row],[Column13]]</f>
        <v>0.71689059500959695</v>
      </c>
      <c r="L11" s="7">
        <v>8</v>
      </c>
      <c r="M11" s="7"/>
    </row>
    <row r="12" spans="1:13" ht="15.75" customHeight="1" x14ac:dyDescent="0.15">
      <c r="A12" s="8" t="s">
        <v>28</v>
      </c>
      <c r="B12" s="8" t="s">
        <v>92</v>
      </c>
      <c r="C12" s="7" t="s">
        <v>29</v>
      </c>
      <c r="D12" s="7" t="s">
        <v>30</v>
      </c>
      <c r="E12" s="7">
        <f t="shared" si="0"/>
        <v>70</v>
      </c>
      <c r="F12" s="7">
        <v>1952</v>
      </c>
      <c r="G12" s="7" t="s">
        <v>108</v>
      </c>
      <c r="H12" s="59" t="s">
        <v>74</v>
      </c>
      <c r="I12" s="7">
        <v>420</v>
      </c>
      <c r="J12" s="7">
        <v>167.5</v>
      </c>
      <c r="K12" s="9">
        <f>Table_13[[#This Row],[Column9]]/Table_13[[#This Row],[Column13]]</f>
        <v>0.39880952380952384</v>
      </c>
      <c r="L12" s="7">
        <v>0</v>
      </c>
      <c r="M12" s="7"/>
    </row>
    <row r="13" spans="1:13" ht="15.75" customHeight="1" x14ac:dyDescent="0.15">
      <c r="A13" s="8" t="s">
        <v>17</v>
      </c>
      <c r="B13" s="8" t="s">
        <v>93</v>
      </c>
      <c r="C13" s="7" t="s">
        <v>31</v>
      </c>
      <c r="D13" s="7" t="s">
        <v>32</v>
      </c>
      <c r="E13" s="7">
        <f t="shared" si="0"/>
        <v>29</v>
      </c>
      <c r="F13" s="7">
        <v>1993</v>
      </c>
      <c r="G13" s="63" t="s">
        <v>109</v>
      </c>
      <c r="H13" s="59" t="s">
        <v>83</v>
      </c>
      <c r="I13" s="7">
        <v>758</v>
      </c>
      <c r="J13" s="7">
        <v>599</v>
      </c>
      <c r="K13" s="9">
        <f>Table_13[[#This Row],[Column9]]/Table_13[[#This Row],[Column13]]</f>
        <v>0.79023746701846964</v>
      </c>
      <c r="L13" s="7">
        <v>0</v>
      </c>
      <c r="M13" s="7"/>
    </row>
    <row r="14" spans="1:13" ht="15.75" customHeight="1" x14ac:dyDescent="0.15">
      <c r="A14" s="8" t="s">
        <v>8</v>
      </c>
      <c r="B14" s="8" t="s">
        <v>94</v>
      </c>
      <c r="C14" s="7" t="s">
        <v>33</v>
      </c>
      <c r="D14" s="7" t="s">
        <v>34</v>
      </c>
      <c r="E14" s="7">
        <f t="shared" si="0"/>
        <v>41</v>
      </c>
      <c r="F14" s="7">
        <v>1981</v>
      </c>
      <c r="G14" s="7" t="s">
        <v>102</v>
      </c>
      <c r="H14" s="59" t="s">
        <v>74</v>
      </c>
      <c r="I14" s="7">
        <v>464</v>
      </c>
      <c r="J14" s="7">
        <v>398.5</v>
      </c>
      <c r="K14" s="9">
        <f>Table_13[[#This Row],[Column9]]/Table_13[[#This Row],[Column13]]</f>
        <v>0.85883620689655171</v>
      </c>
      <c r="L14" s="7">
        <v>10</v>
      </c>
      <c r="M14" s="7" t="s">
        <v>79</v>
      </c>
    </row>
    <row r="15" spans="1:13" ht="15.75" customHeight="1" x14ac:dyDescent="0.15">
      <c r="A15" s="8" t="s">
        <v>8</v>
      </c>
      <c r="B15" s="8" t="s">
        <v>95</v>
      </c>
      <c r="C15" s="7" t="s">
        <v>35</v>
      </c>
      <c r="D15" s="7" t="s">
        <v>36</v>
      </c>
      <c r="E15" s="7">
        <f t="shared" si="0"/>
        <v>48</v>
      </c>
      <c r="F15" s="7">
        <v>1974</v>
      </c>
      <c r="G15" s="63" t="s">
        <v>107</v>
      </c>
      <c r="H15" s="59" t="s">
        <v>74</v>
      </c>
      <c r="I15" s="7">
        <v>446</v>
      </c>
      <c r="J15" s="7">
        <v>362</v>
      </c>
      <c r="K15" s="9">
        <f>Table_13[[#This Row],[Column9]]/Table_13[[#This Row],[Column13]]</f>
        <v>0.81165919282511212</v>
      </c>
      <c r="L15" s="7">
        <v>5</v>
      </c>
      <c r="M15" s="7" t="s">
        <v>80</v>
      </c>
    </row>
    <row r="16" spans="1:13" ht="15.75" customHeight="1" x14ac:dyDescent="0.15">
      <c r="A16" s="8" t="s">
        <v>8</v>
      </c>
      <c r="B16" s="8" t="s">
        <v>96</v>
      </c>
      <c r="C16" s="7" t="s">
        <v>37</v>
      </c>
      <c r="D16" s="7" t="s">
        <v>38</v>
      </c>
      <c r="E16" s="7">
        <f t="shared" si="0"/>
        <v>4</v>
      </c>
      <c r="F16" s="7">
        <v>2018</v>
      </c>
      <c r="G16" s="7" t="s">
        <v>110</v>
      </c>
      <c r="H16" s="59" t="s">
        <v>74</v>
      </c>
      <c r="I16" s="7">
        <v>395</v>
      </c>
      <c r="J16" s="7">
        <v>308</v>
      </c>
      <c r="K16" s="9">
        <f>Table_13[[#This Row],[Column9]]/Table_13[[#This Row],[Column13]]</f>
        <v>0.77974683544303802</v>
      </c>
      <c r="L16" s="7">
        <v>0</v>
      </c>
      <c r="M16" s="7" t="s">
        <v>5</v>
      </c>
    </row>
    <row r="17" spans="1:13" ht="15.75" customHeight="1" x14ac:dyDescent="0.15">
      <c r="A17" s="8" t="s">
        <v>8</v>
      </c>
      <c r="B17" s="8" t="s">
        <v>88</v>
      </c>
      <c r="C17" s="7" t="s">
        <v>39</v>
      </c>
      <c r="D17" s="7" t="s">
        <v>40</v>
      </c>
      <c r="E17" s="7">
        <f t="shared" si="0"/>
        <v>56</v>
      </c>
      <c r="F17" s="7">
        <v>1966</v>
      </c>
      <c r="G17" s="63" t="s">
        <v>111</v>
      </c>
      <c r="H17" s="59" t="s">
        <v>83</v>
      </c>
      <c r="I17" s="7">
        <v>1008</v>
      </c>
      <c r="J17" s="7">
        <v>768</v>
      </c>
      <c r="K17" s="9">
        <f>Table_13[[#This Row],[Column9]]/Table_13[[#This Row],[Column13]]</f>
        <v>0.76190476190476186</v>
      </c>
      <c r="L17" s="7">
        <v>0</v>
      </c>
      <c r="M17" s="7" t="s">
        <v>116</v>
      </c>
    </row>
    <row r="18" spans="1:13" ht="15.75" customHeight="1" x14ac:dyDescent="0.15">
      <c r="A18" s="8" t="s">
        <v>8</v>
      </c>
      <c r="B18" s="8" t="s">
        <v>98</v>
      </c>
      <c r="C18" s="7" t="s">
        <v>41</v>
      </c>
      <c r="D18" s="7"/>
      <c r="E18" s="7"/>
      <c r="F18" s="7"/>
      <c r="G18" s="62" t="s">
        <v>112</v>
      </c>
      <c r="H18" s="59" t="s">
        <v>74</v>
      </c>
      <c r="I18" s="7" t="s">
        <v>114</v>
      </c>
      <c r="J18" s="7" t="s">
        <v>114</v>
      </c>
      <c r="K18" s="7" t="s">
        <v>114</v>
      </c>
      <c r="L18" s="7" t="s">
        <v>114</v>
      </c>
      <c r="M18" s="7" t="s">
        <v>81</v>
      </c>
    </row>
    <row r="19" spans="1:13" ht="15.75" customHeight="1" x14ac:dyDescent="0.15">
      <c r="A19" s="8" t="s">
        <v>17</v>
      </c>
      <c r="B19" s="8" t="s">
        <v>99</v>
      </c>
      <c r="C19" s="7" t="s">
        <v>42</v>
      </c>
      <c r="D19" s="7" t="s">
        <v>43</v>
      </c>
      <c r="E19" s="7">
        <f t="shared" ref="E19:E20" si="1">2022-F19</f>
        <v>2</v>
      </c>
      <c r="F19" s="7">
        <v>2020</v>
      </c>
      <c r="G19" s="7" t="s">
        <v>113</v>
      </c>
      <c r="H19" s="59" t="s">
        <v>74</v>
      </c>
      <c r="I19" s="7">
        <v>308</v>
      </c>
      <c r="J19" s="7">
        <v>168</v>
      </c>
      <c r="K19" s="9">
        <f>Table_13[[#This Row],[Column9]]/Table_13[[#This Row],[Column13]]</f>
        <v>0.54545454545454541</v>
      </c>
      <c r="L19" s="7">
        <v>0</v>
      </c>
      <c r="M19" s="7" t="s">
        <v>115</v>
      </c>
    </row>
    <row r="20" spans="1:13" ht="15.75" customHeight="1" x14ac:dyDescent="0.15">
      <c r="A20" s="10" t="s">
        <v>8</v>
      </c>
      <c r="B20" s="10" t="s">
        <v>100</v>
      </c>
      <c r="C20" s="11" t="s">
        <v>44</v>
      </c>
      <c r="D20" s="11" t="s">
        <v>45</v>
      </c>
      <c r="E20" s="11">
        <f t="shared" si="1"/>
        <v>37</v>
      </c>
      <c r="F20" s="11">
        <v>1985</v>
      </c>
      <c r="G20" s="64" t="s">
        <v>107</v>
      </c>
      <c r="H20" s="60" t="s">
        <v>74</v>
      </c>
      <c r="I20" s="11">
        <v>600</v>
      </c>
      <c r="J20" s="11">
        <v>415</v>
      </c>
      <c r="K20" s="12">
        <f>Table_13[[#This Row],[Column9]]/Table_13[[#This Row],[Column13]]</f>
        <v>0.69166666666666665</v>
      </c>
      <c r="L20" s="11">
        <f>3-3</f>
        <v>0</v>
      </c>
      <c r="M20" s="11" t="s">
        <v>80</v>
      </c>
    </row>
    <row r="21" spans="1:13" x14ac:dyDescent="0.15">
      <c r="A21" s="2" t="s">
        <v>46</v>
      </c>
      <c r="B21" s="2"/>
      <c r="C21" s="2"/>
      <c r="D21" s="2"/>
      <c r="E21" s="2"/>
      <c r="F21" s="2"/>
      <c r="G21" s="2"/>
      <c r="H21" s="2"/>
      <c r="I21" s="4">
        <f>SUBTOTAL(109,I2:I20)</f>
        <v>8369</v>
      </c>
      <c r="J21" s="4">
        <f>SUBTOTAL(109,J2:J20)</f>
        <v>5588.5</v>
      </c>
      <c r="K21" s="5">
        <f>Table_13[[#This Row],[Column9]]/Table_13[[#This Row],[Column13]]</f>
        <v>0.66776197873103116</v>
      </c>
      <c r="L21" s="6">
        <f>SUBTOTAL(109,L2:L20)</f>
        <v>79</v>
      </c>
      <c r="M21" s="2"/>
    </row>
    <row r="22" spans="1:13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1: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1: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1: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1: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1: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1: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1: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1: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1: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1: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1: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1: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1: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1: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1: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1: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1: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1: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1: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1: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1: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1: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1: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1: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1: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1: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1: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1: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1: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1: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1: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1: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1: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1: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1: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1: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1: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1: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1: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1: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1: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1: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1: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1: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1: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1: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</row>
    <row r="978" spans="1: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</row>
    <row r="982" spans="1: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</sheetData>
  <pageMargins left="0.70866141732283472" right="0.70866141732283472" top="0.74803149606299213" bottom="0.74803149606299213" header="0.31496062992125984" footer="0.31496062992125984"/>
  <pageSetup scale="1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50"/>
  <sheetViews>
    <sheetView topLeftCell="A25" workbookViewId="0">
      <selection activeCell="G59" sqref="G59"/>
    </sheetView>
  </sheetViews>
  <sheetFormatPr baseColWidth="10" defaultColWidth="9.1640625" defaultRowHeight="13" x14ac:dyDescent="0.15"/>
  <cols>
    <col min="1" max="1" width="9.1640625" style="15"/>
    <col min="2" max="2" width="9.33203125" style="15" bestFit="1" customWidth="1"/>
    <col min="3" max="14" width="5.1640625" style="15" bestFit="1" customWidth="1"/>
    <col min="15" max="15" width="8.1640625" style="15" bestFit="1" customWidth="1"/>
    <col min="16" max="16" width="7.83203125" style="15" bestFit="1" customWidth="1"/>
    <col min="17" max="17" width="7.5" style="15" bestFit="1" customWidth="1"/>
    <col min="18" max="18" width="9.1640625" style="15" bestFit="1" customWidth="1"/>
    <col min="19" max="19" width="9.6640625" style="15" customWidth="1"/>
    <col min="20" max="20" width="11" style="15" customWidth="1"/>
    <col min="21" max="21" width="10.83203125" style="15" customWidth="1"/>
    <col min="22" max="22" width="11.5" style="15" customWidth="1"/>
    <col min="23" max="23" width="10.1640625" style="15" bestFit="1" customWidth="1"/>
    <col min="24" max="16384" width="9.1640625" style="15"/>
  </cols>
  <sheetData>
    <row r="1" spans="1:24" ht="21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13"/>
      <c r="W1" s="14"/>
      <c r="X1" s="14"/>
    </row>
    <row r="2" spans="1:24" ht="31" thickBot="1" x14ac:dyDescent="0.25">
      <c r="A2" s="16"/>
      <c r="B2" s="17" t="s">
        <v>48</v>
      </c>
      <c r="C2" s="17">
        <v>1</v>
      </c>
      <c r="D2" s="17">
        <v>2</v>
      </c>
      <c r="E2" s="17">
        <v>3</v>
      </c>
      <c r="F2" s="17">
        <v>4</v>
      </c>
      <c r="G2" s="17">
        <v>5</v>
      </c>
      <c r="H2" s="17">
        <v>6</v>
      </c>
      <c r="I2" s="17">
        <v>7</v>
      </c>
      <c r="J2" s="17">
        <v>8</v>
      </c>
      <c r="K2" s="17">
        <v>9</v>
      </c>
      <c r="L2" s="17">
        <v>10</v>
      </c>
      <c r="M2" s="17">
        <v>11</v>
      </c>
      <c r="N2" s="17">
        <v>12</v>
      </c>
      <c r="O2" s="18" t="s">
        <v>49</v>
      </c>
      <c r="P2" s="19" t="s">
        <v>50</v>
      </c>
      <c r="Q2" s="19" t="s">
        <v>51</v>
      </c>
      <c r="R2" s="19" t="s">
        <v>52</v>
      </c>
      <c r="S2" s="19" t="s">
        <v>53</v>
      </c>
      <c r="T2" s="19" t="s">
        <v>54</v>
      </c>
      <c r="U2" s="19" t="s">
        <v>55</v>
      </c>
      <c r="V2" s="19" t="s">
        <v>56</v>
      </c>
      <c r="W2" s="19" t="s">
        <v>57</v>
      </c>
      <c r="X2" s="14"/>
    </row>
    <row r="3" spans="1:24" ht="16" thickBot="1" x14ac:dyDescent="0.25">
      <c r="A3" s="20" t="s">
        <v>9</v>
      </c>
      <c r="B3" s="21">
        <v>19</v>
      </c>
      <c r="C3" s="22">
        <v>34</v>
      </c>
      <c r="D3" s="22">
        <v>19</v>
      </c>
      <c r="E3" s="22">
        <v>36</v>
      </c>
      <c r="F3" s="22">
        <v>35</v>
      </c>
      <c r="G3" s="22">
        <v>29</v>
      </c>
      <c r="H3" s="22">
        <v>29</v>
      </c>
      <c r="I3" s="22"/>
      <c r="J3" s="22"/>
      <c r="K3" s="22"/>
      <c r="L3" s="22"/>
      <c r="M3" s="22"/>
      <c r="N3" s="22"/>
      <c r="O3" s="23">
        <f>SUM(B3:N3)</f>
        <v>201</v>
      </c>
      <c r="P3" s="23">
        <f>SUM(C3:N3)</f>
        <v>182</v>
      </c>
      <c r="Q3" s="22"/>
      <c r="R3" s="22">
        <v>8</v>
      </c>
      <c r="S3" s="24">
        <v>396</v>
      </c>
      <c r="T3" s="25">
        <f>((B3-Q3)*0.5)+(Q3*1.5)+(P3-R3)+(R3*3)</f>
        <v>207.5</v>
      </c>
      <c r="U3" s="26">
        <f t="shared" ref="U3:U12" si="0">T3/S3</f>
        <v>0.52398989898989901</v>
      </c>
      <c r="V3" s="26">
        <v>0.52398989898989901</v>
      </c>
      <c r="W3" s="27">
        <v>56</v>
      </c>
      <c r="X3" s="28" t="s">
        <v>58</v>
      </c>
    </row>
    <row r="4" spans="1:24" ht="16" thickBot="1" x14ac:dyDescent="0.25">
      <c r="A4" s="20" t="s">
        <v>11</v>
      </c>
      <c r="B4" s="21">
        <v>37</v>
      </c>
      <c r="C4" s="22">
        <v>34</v>
      </c>
      <c r="D4" s="22">
        <v>26</v>
      </c>
      <c r="E4" s="22">
        <v>22</v>
      </c>
      <c r="F4" s="22">
        <v>22</v>
      </c>
      <c r="G4" s="22">
        <v>33</v>
      </c>
      <c r="H4" s="22">
        <v>21</v>
      </c>
      <c r="I4" s="22"/>
      <c r="J4" s="22"/>
      <c r="K4" s="22"/>
      <c r="L4" s="22"/>
      <c r="M4" s="22"/>
      <c r="N4" s="22"/>
      <c r="O4" s="23">
        <f t="shared" ref="O4:O14" si="1">SUM(B4:N4)</f>
        <v>195</v>
      </c>
      <c r="P4" s="23">
        <f t="shared" ref="P4:P14" si="2">SUM(C4:N4)</f>
        <v>158</v>
      </c>
      <c r="Q4" s="22">
        <v>14</v>
      </c>
      <c r="R4" s="22">
        <v>11</v>
      </c>
      <c r="S4" s="24">
        <v>347</v>
      </c>
      <c r="T4" s="25">
        <f>((B4-Q4)*0.5)+(Q4*1.5)+(P4-R4)+(R4*3)</f>
        <v>212.5</v>
      </c>
      <c r="U4" s="26">
        <f t="shared" si="0"/>
        <v>0.61239193083573484</v>
      </c>
      <c r="V4" s="26">
        <v>0.61239193083573484</v>
      </c>
      <c r="W4" s="27">
        <v>65</v>
      </c>
      <c r="X4" s="28" t="s">
        <v>58</v>
      </c>
    </row>
    <row r="5" spans="1:24" ht="16" thickBot="1" x14ac:dyDescent="0.25">
      <c r="A5" s="20" t="s">
        <v>13</v>
      </c>
      <c r="B5" s="21">
        <v>30</v>
      </c>
      <c r="C5" s="22">
        <v>18</v>
      </c>
      <c r="D5" s="22">
        <v>33</v>
      </c>
      <c r="E5" s="22">
        <v>17</v>
      </c>
      <c r="F5" s="22">
        <v>23</v>
      </c>
      <c r="G5" s="22">
        <v>28</v>
      </c>
      <c r="H5" s="22">
        <v>25</v>
      </c>
      <c r="I5" s="22"/>
      <c r="J5" s="22"/>
      <c r="K5" s="22"/>
      <c r="L5" s="22"/>
      <c r="M5" s="22"/>
      <c r="N5" s="22"/>
      <c r="O5" s="23">
        <f t="shared" si="1"/>
        <v>174</v>
      </c>
      <c r="P5" s="23">
        <f t="shared" si="2"/>
        <v>144</v>
      </c>
      <c r="Q5" s="24">
        <v>3</v>
      </c>
      <c r="R5" s="24">
        <v>1</v>
      </c>
      <c r="S5" s="24">
        <v>313</v>
      </c>
      <c r="T5" s="25">
        <f t="shared" ref="T5:T9" si="3">((B5-Q5)*0.5)+(Q5*1.5)+(P5-R5)+(R5*3)</f>
        <v>164</v>
      </c>
      <c r="U5" s="26">
        <f t="shared" si="0"/>
        <v>0.52396166134185307</v>
      </c>
      <c r="V5" s="26">
        <v>0.52396166134185307</v>
      </c>
      <c r="W5" s="27">
        <v>65</v>
      </c>
      <c r="X5" s="28" t="s">
        <v>58</v>
      </c>
    </row>
    <row r="6" spans="1:24" ht="16" thickBot="1" x14ac:dyDescent="0.25">
      <c r="A6" s="20" t="s">
        <v>15</v>
      </c>
      <c r="B6" s="21">
        <v>38</v>
      </c>
      <c r="C6" s="22">
        <v>32</v>
      </c>
      <c r="D6" s="22">
        <v>46</v>
      </c>
      <c r="E6" s="22">
        <v>52</v>
      </c>
      <c r="F6" s="22">
        <v>50</v>
      </c>
      <c r="G6" s="22">
        <v>59</v>
      </c>
      <c r="H6" s="22">
        <v>39</v>
      </c>
      <c r="I6" s="22"/>
      <c r="J6" s="22"/>
      <c r="K6" s="22"/>
      <c r="L6" s="22"/>
      <c r="M6" s="22"/>
      <c r="N6" s="22"/>
      <c r="O6" s="23">
        <f t="shared" si="1"/>
        <v>316</v>
      </c>
      <c r="P6" s="23">
        <f t="shared" si="2"/>
        <v>278</v>
      </c>
      <c r="Q6" s="24">
        <v>5</v>
      </c>
      <c r="R6" s="24">
        <v>6</v>
      </c>
      <c r="S6" s="24">
        <v>434</v>
      </c>
      <c r="T6" s="25">
        <f t="shared" si="3"/>
        <v>314</v>
      </c>
      <c r="U6" s="26">
        <f t="shared" si="0"/>
        <v>0.72350230414746541</v>
      </c>
      <c r="V6" s="26">
        <v>0.72350230414746541</v>
      </c>
      <c r="W6" s="27">
        <v>74</v>
      </c>
      <c r="X6" s="28" t="s">
        <v>58</v>
      </c>
    </row>
    <row r="7" spans="1:24" ht="16" thickBot="1" x14ac:dyDescent="0.25">
      <c r="A7" s="20" t="s">
        <v>20</v>
      </c>
      <c r="B7" s="21"/>
      <c r="C7" s="22"/>
      <c r="D7" s="22"/>
      <c r="E7" s="22"/>
      <c r="F7" s="22"/>
      <c r="G7" s="22"/>
      <c r="H7" s="22"/>
      <c r="I7" s="22">
        <v>80</v>
      </c>
      <c r="J7" s="22">
        <v>76</v>
      </c>
      <c r="K7" s="22">
        <v>84</v>
      </c>
      <c r="L7" s="22"/>
      <c r="M7" s="22"/>
      <c r="N7" s="22"/>
      <c r="O7" s="23">
        <f t="shared" si="1"/>
        <v>240</v>
      </c>
      <c r="P7" s="23">
        <f t="shared" si="2"/>
        <v>240</v>
      </c>
      <c r="Q7" s="22"/>
      <c r="R7" s="22">
        <v>5</v>
      </c>
      <c r="S7" s="24">
        <v>602</v>
      </c>
      <c r="T7" s="29">
        <f>(P7-R7)+(R7*3)</f>
        <v>250</v>
      </c>
      <c r="U7" s="26">
        <f t="shared" si="0"/>
        <v>0.41528239202657807</v>
      </c>
      <c r="V7" s="26">
        <v>0.41528239202657807</v>
      </c>
      <c r="W7" s="27">
        <v>44</v>
      </c>
      <c r="X7" s="28" t="s">
        <v>58</v>
      </c>
    </row>
    <row r="8" spans="1:24" ht="16" thickBot="1" x14ac:dyDescent="0.25">
      <c r="A8" s="20" t="s">
        <v>26</v>
      </c>
      <c r="B8" s="21">
        <v>34</v>
      </c>
      <c r="C8" s="22">
        <v>60</v>
      </c>
      <c r="D8" s="22">
        <v>46</v>
      </c>
      <c r="E8" s="22">
        <v>59</v>
      </c>
      <c r="F8" s="22">
        <v>59</v>
      </c>
      <c r="G8" s="22">
        <v>73</v>
      </c>
      <c r="H8" s="22">
        <v>55</v>
      </c>
      <c r="I8" s="22"/>
      <c r="J8" s="22"/>
      <c r="K8" s="22"/>
      <c r="L8" s="22"/>
      <c r="M8" s="22"/>
      <c r="N8" s="22"/>
      <c r="O8" s="23">
        <f t="shared" si="1"/>
        <v>386</v>
      </c>
      <c r="P8" s="23">
        <f t="shared" si="2"/>
        <v>352</v>
      </c>
      <c r="Q8" s="22">
        <v>0</v>
      </c>
      <c r="R8" s="22">
        <v>7</v>
      </c>
      <c r="S8" s="24">
        <v>521</v>
      </c>
      <c r="T8" s="25">
        <f t="shared" si="3"/>
        <v>383</v>
      </c>
      <c r="U8" s="26">
        <f t="shared" si="0"/>
        <v>0.73512476007677541</v>
      </c>
      <c r="V8" s="26">
        <v>0.73512476007677541</v>
      </c>
      <c r="W8" s="27">
        <v>77</v>
      </c>
      <c r="X8" s="28" t="s">
        <v>58</v>
      </c>
    </row>
    <row r="9" spans="1:24" ht="16" thickBot="1" x14ac:dyDescent="0.25">
      <c r="A9" s="20" t="s">
        <v>33</v>
      </c>
      <c r="B9" s="21">
        <v>44</v>
      </c>
      <c r="C9" s="22">
        <v>60</v>
      </c>
      <c r="D9" s="22">
        <v>43</v>
      </c>
      <c r="E9" s="22">
        <v>61</v>
      </c>
      <c r="F9" s="22">
        <v>40</v>
      </c>
      <c r="G9" s="22">
        <v>68</v>
      </c>
      <c r="H9" s="22">
        <v>62</v>
      </c>
      <c r="I9" s="22"/>
      <c r="J9" s="22"/>
      <c r="K9" s="22"/>
      <c r="L9" s="22"/>
      <c r="M9" s="22"/>
      <c r="N9" s="22"/>
      <c r="O9" s="23">
        <f t="shared" si="1"/>
        <v>378</v>
      </c>
      <c r="P9" s="23">
        <f t="shared" si="2"/>
        <v>334</v>
      </c>
      <c r="Q9" s="22">
        <v>2</v>
      </c>
      <c r="R9" s="22">
        <v>6</v>
      </c>
      <c r="S9" s="24">
        <v>464</v>
      </c>
      <c r="T9" s="25">
        <f t="shared" si="3"/>
        <v>370</v>
      </c>
      <c r="U9" s="26">
        <f t="shared" si="0"/>
        <v>0.79741379310344829</v>
      </c>
      <c r="V9" s="26">
        <v>0.79741379310344829</v>
      </c>
      <c r="W9" s="27">
        <v>85</v>
      </c>
      <c r="X9" s="28" t="s">
        <v>58</v>
      </c>
    </row>
    <row r="10" spans="1:24" ht="16" thickBot="1" x14ac:dyDescent="0.25">
      <c r="A10" s="20" t="s">
        <v>35</v>
      </c>
      <c r="B10" s="21"/>
      <c r="C10" s="22"/>
      <c r="D10" s="22"/>
      <c r="E10" s="22"/>
      <c r="F10" s="22"/>
      <c r="G10" s="22"/>
      <c r="H10" s="22"/>
      <c r="I10" s="22">
        <v>111</v>
      </c>
      <c r="J10" s="22">
        <v>117</v>
      </c>
      <c r="K10" s="22">
        <v>121</v>
      </c>
      <c r="L10" s="22"/>
      <c r="M10" s="22"/>
      <c r="N10" s="22"/>
      <c r="O10" s="23">
        <f t="shared" si="1"/>
        <v>349</v>
      </c>
      <c r="P10" s="23">
        <f t="shared" si="2"/>
        <v>349</v>
      </c>
      <c r="Q10" s="22"/>
      <c r="R10" s="22">
        <v>16</v>
      </c>
      <c r="S10" s="30">
        <v>446</v>
      </c>
      <c r="T10" s="29">
        <f t="shared" ref="T10" si="4">(P10-R10)+(R10*3)</f>
        <v>381</v>
      </c>
      <c r="U10" s="26">
        <f t="shared" si="0"/>
        <v>0.85426008968609868</v>
      </c>
      <c r="V10" s="26">
        <v>0.71751412429378536</v>
      </c>
      <c r="W10" s="27">
        <v>72</v>
      </c>
      <c r="X10" s="28" t="s">
        <v>58</v>
      </c>
    </row>
    <row r="11" spans="1:24" ht="16" thickBot="1" x14ac:dyDescent="0.25">
      <c r="A11" s="20" t="s">
        <v>37</v>
      </c>
      <c r="B11" s="21">
        <v>27</v>
      </c>
      <c r="C11" s="22">
        <v>31</v>
      </c>
      <c r="D11" s="22">
        <v>32</v>
      </c>
      <c r="E11" s="22">
        <v>30</v>
      </c>
      <c r="F11" s="22">
        <v>24</v>
      </c>
      <c r="G11" s="22">
        <v>23</v>
      </c>
      <c r="H11" s="22">
        <v>27</v>
      </c>
      <c r="I11" s="22">
        <v>14</v>
      </c>
      <c r="J11" s="22">
        <v>30</v>
      </c>
      <c r="K11" s="22">
        <v>22</v>
      </c>
      <c r="L11" s="22"/>
      <c r="M11" s="22"/>
      <c r="N11" s="22"/>
      <c r="O11" s="23">
        <f t="shared" si="1"/>
        <v>260</v>
      </c>
      <c r="P11" s="23">
        <f t="shared" si="2"/>
        <v>233</v>
      </c>
      <c r="Q11" s="22">
        <v>1</v>
      </c>
      <c r="R11" s="22">
        <v>5</v>
      </c>
      <c r="S11" s="24">
        <v>395</v>
      </c>
      <c r="T11" s="29">
        <f>((B11-Q11)*0.5)+(Q11*1.5)+(P11-R11)+(R11*3)</f>
        <v>257.5</v>
      </c>
      <c r="U11" s="26">
        <f t="shared" si="0"/>
        <v>0.65189873417721522</v>
      </c>
      <c r="V11" s="26">
        <v>0.65189873417721522</v>
      </c>
      <c r="W11" s="27">
        <v>54</v>
      </c>
      <c r="X11" s="28" t="s">
        <v>58</v>
      </c>
    </row>
    <row r="12" spans="1:24" ht="16" thickBot="1" x14ac:dyDescent="0.25">
      <c r="A12" s="20" t="s">
        <v>39</v>
      </c>
      <c r="B12" s="31"/>
      <c r="C12" s="22"/>
      <c r="D12" s="22"/>
      <c r="E12" s="22"/>
      <c r="F12" s="22"/>
      <c r="G12" s="22"/>
      <c r="H12" s="22"/>
      <c r="I12" s="22"/>
      <c r="J12" s="22"/>
      <c r="K12" s="22"/>
      <c r="L12" s="22">
        <v>254</v>
      </c>
      <c r="M12" s="22">
        <v>224</v>
      </c>
      <c r="N12" s="22">
        <f>177+6</f>
        <v>183</v>
      </c>
      <c r="O12" s="23">
        <f t="shared" si="1"/>
        <v>661</v>
      </c>
      <c r="P12" s="23">
        <f t="shared" si="2"/>
        <v>661</v>
      </c>
      <c r="Q12" s="22"/>
      <c r="R12" s="22">
        <v>12</v>
      </c>
      <c r="S12" s="24">
        <v>1008</v>
      </c>
      <c r="T12" s="25">
        <f t="shared" ref="T12" si="5">((B12-Q12)*0.5)+(Q12*1.5)+(P12-R12)+(R12*3)</f>
        <v>685</v>
      </c>
      <c r="U12" s="26">
        <f t="shared" si="0"/>
        <v>0.67956349206349209</v>
      </c>
      <c r="V12" s="26">
        <v>0.67956349206349209</v>
      </c>
      <c r="W12" s="27">
        <v>74</v>
      </c>
      <c r="X12" s="28" t="s">
        <v>59</v>
      </c>
    </row>
    <row r="13" spans="1:24" ht="16" thickBot="1" x14ac:dyDescent="0.25">
      <c r="A13" s="20" t="s">
        <v>41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>
        <v>6</v>
      </c>
      <c r="M13" s="22">
        <v>9</v>
      </c>
      <c r="N13" s="22">
        <v>57</v>
      </c>
      <c r="O13" s="23">
        <f t="shared" si="1"/>
        <v>72</v>
      </c>
      <c r="P13" s="23">
        <f t="shared" si="2"/>
        <v>72</v>
      </c>
      <c r="Q13" s="22"/>
      <c r="R13" s="22">
        <v>1</v>
      </c>
      <c r="S13" s="24"/>
      <c r="T13" s="32"/>
      <c r="U13" s="26"/>
      <c r="V13" s="26"/>
      <c r="W13" s="27"/>
      <c r="X13" s="28" t="s">
        <v>58</v>
      </c>
    </row>
    <row r="14" spans="1:24" ht="16" thickBot="1" x14ac:dyDescent="0.25">
      <c r="A14" s="20" t="s">
        <v>44</v>
      </c>
      <c r="B14" s="21"/>
      <c r="C14" s="22"/>
      <c r="D14" s="22"/>
      <c r="E14" s="22"/>
      <c r="F14" s="22"/>
      <c r="G14" s="22"/>
      <c r="H14" s="22"/>
      <c r="I14" s="22">
        <v>120</v>
      </c>
      <c r="J14" s="22">
        <v>128</v>
      </c>
      <c r="K14" s="22">
        <v>138</v>
      </c>
      <c r="L14" s="22"/>
      <c r="M14" s="22"/>
      <c r="N14" s="22"/>
      <c r="O14" s="23">
        <f t="shared" si="1"/>
        <v>386</v>
      </c>
      <c r="P14" s="23">
        <f t="shared" si="2"/>
        <v>386</v>
      </c>
      <c r="Q14" s="22"/>
      <c r="R14" s="22">
        <v>14</v>
      </c>
      <c r="S14" s="30">
        <v>600</v>
      </c>
      <c r="T14" s="29">
        <f>(P14-R14)+(R14*3)</f>
        <v>414</v>
      </c>
      <c r="U14" s="26">
        <f t="shared" ref="U14:U20" si="6">T14/S14</f>
        <v>0.69</v>
      </c>
      <c r="V14" s="26">
        <v>0.61515601783060925</v>
      </c>
      <c r="W14" s="27">
        <v>60</v>
      </c>
      <c r="X14" s="28"/>
    </row>
    <row r="15" spans="1:24" ht="16" thickBot="1" x14ac:dyDescent="0.25">
      <c r="A15" s="20" t="s">
        <v>24</v>
      </c>
      <c r="B15" s="21">
        <v>35</v>
      </c>
      <c r="C15" s="22">
        <v>20</v>
      </c>
      <c r="D15" s="22">
        <v>15</v>
      </c>
      <c r="E15" s="22">
        <v>17</v>
      </c>
      <c r="F15" s="22">
        <v>30</v>
      </c>
      <c r="G15" s="22">
        <v>18</v>
      </c>
      <c r="H15" s="22">
        <v>25</v>
      </c>
      <c r="I15" s="22"/>
      <c r="J15" s="22"/>
      <c r="K15" s="22"/>
      <c r="L15" s="22"/>
      <c r="M15" s="22"/>
      <c r="N15" s="22"/>
      <c r="O15" s="23">
        <f t="shared" ref="O15" si="7">SUM(B15:N15)</f>
        <v>160</v>
      </c>
      <c r="P15" s="23">
        <f t="shared" ref="P15" si="8">SUM(C15:N15)</f>
        <v>125</v>
      </c>
      <c r="Q15" s="24">
        <v>20</v>
      </c>
      <c r="R15" s="24">
        <v>10</v>
      </c>
      <c r="S15" s="24">
        <v>444</v>
      </c>
      <c r="T15" s="25">
        <f>((B15-Q15)*0.5)+(Q15*1.5)+(P15-R15)+(R15*3)</f>
        <v>182.5</v>
      </c>
      <c r="U15" s="26">
        <f t="shared" si="6"/>
        <v>0.41103603603603606</v>
      </c>
      <c r="V15" s="26">
        <v>0.41103603603603606</v>
      </c>
      <c r="W15" s="27">
        <v>41</v>
      </c>
      <c r="X15" s="28" t="s">
        <v>58</v>
      </c>
    </row>
    <row r="16" spans="1:24" ht="16" thickBot="1" x14ac:dyDescent="0.25">
      <c r="A16" s="20" t="s">
        <v>22</v>
      </c>
      <c r="B16" s="21"/>
      <c r="C16" s="22"/>
      <c r="D16" s="22"/>
      <c r="E16" s="22"/>
      <c r="F16" s="22"/>
      <c r="G16" s="22"/>
      <c r="H16" s="22">
        <f>83+2</f>
        <v>85</v>
      </c>
      <c r="I16" s="22">
        <f>101+3</f>
        <v>104</v>
      </c>
      <c r="J16" s="22">
        <v>106</v>
      </c>
      <c r="K16" s="22"/>
      <c r="L16" s="22"/>
      <c r="M16" s="22"/>
      <c r="N16" s="22"/>
      <c r="O16" s="23">
        <f>SUM(B16:N16)</f>
        <v>295</v>
      </c>
      <c r="P16" s="23">
        <f>SUM(C16:N16)</f>
        <v>295</v>
      </c>
      <c r="Q16" s="22"/>
      <c r="R16" s="22">
        <v>17</v>
      </c>
      <c r="S16" s="30">
        <v>429</v>
      </c>
      <c r="T16" s="23">
        <f>(P16-R16)+(R16*3)</f>
        <v>329</v>
      </c>
      <c r="U16" s="26">
        <f t="shared" si="6"/>
        <v>0.76689976689976691</v>
      </c>
      <c r="V16" s="26">
        <v>0.61380597014925375</v>
      </c>
      <c r="W16" s="27">
        <v>65</v>
      </c>
      <c r="X16" s="28" t="s">
        <v>60</v>
      </c>
    </row>
    <row r="17" spans="1:24" ht="16" thickBot="1" x14ac:dyDescent="0.25">
      <c r="A17" s="20" t="s">
        <v>31</v>
      </c>
      <c r="B17" s="21"/>
      <c r="C17" s="22"/>
      <c r="D17" s="22"/>
      <c r="E17" s="22" t="s">
        <v>61</v>
      </c>
      <c r="F17" s="22"/>
      <c r="G17" s="22"/>
      <c r="H17" s="22"/>
      <c r="I17" s="22"/>
      <c r="J17" s="22"/>
      <c r="K17" s="22">
        <f>107+3</f>
        <v>110</v>
      </c>
      <c r="L17" s="22">
        <f>129+1</f>
        <v>130</v>
      </c>
      <c r="M17" s="22">
        <f>129+2</f>
        <v>131</v>
      </c>
      <c r="N17" s="22">
        <f>149+1+5</f>
        <v>155</v>
      </c>
      <c r="O17" s="23">
        <f>SUM(B17:N17)</f>
        <v>526</v>
      </c>
      <c r="P17" s="23">
        <f>SUM(C17:N17)</f>
        <v>526</v>
      </c>
      <c r="Q17" s="22"/>
      <c r="R17" s="22">
        <v>33</v>
      </c>
      <c r="S17" s="24">
        <v>758</v>
      </c>
      <c r="T17" s="29">
        <f>(P17-R17)+(R17*3)</f>
        <v>592</v>
      </c>
      <c r="U17" s="26">
        <f t="shared" si="6"/>
        <v>0.78100263852242746</v>
      </c>
      <c r="V17" s="26">
        <v>0.78100263852242746</v>
      </c>
      <c r="W17" s="27">
        <v>77</v>
      </c>
      <c r="X17" s="28" t="s">
        <v>62</v>
      </c>
    </row>
    <row r="18" spans="1:24" ht="16" thickBot="1" x14ac:dyDescent="0.25">
      <c r="A18" s="20" t="s">
        <v>63</v>
      </c>
      <c r="B18" s="21">
        <v>51</v>
      </c>
      <c r="C18" s="22">
        <v>62</v>
      </c>
      <c r="D18" s="22">
        <v>63</v>
      </c>
      <c r="E18" s="22">
        <v>59</v>
      </c>
      <c r="F18" s="22">
        <v>68</v>
      </c>
      <c r="G18" s="22">
        <v>62</v>
      </c>
      <c r="H18" s="22"/>
      <c r="I18" s="22"/>
      <c r="J18" s="22"/>
      <c r="K18" s="22"/>
      <c r="L18" s="22"/>
      <c r="M18" s="22"/>
      <c r="N18" s="22"/>
      <c r="O18" s="23">
        <f>SUM(B18:N18)</f>
        <v>365</v>
      </c>
      <c r="P18" s="23">
        <f>SUM(C18:N18)</f>
        <v>314</v>
      </c>
      <c r="Q18" s="22">
        <v>3</v>
      </c>
      <c r="R18" s="22">
        <v>14</v>
      </c>
      <c r="S18" s="30">
        <v>484</v>
      </c>
      <c r="T18" s="33">
        <f>((B18-Q18)*0.5)+(Q18*1.5)+(P18-R18)+(R18*3)</f>
        <v>370.5</v>
      </c>
      <c r="U18" s="26">
        <f t="shared" si="6"/>
        <v>0.76549586776859502</v>
      </c>
      <c r="V18" s="26">
        <v>0.66877256317689526</v>
      </c>
      <c r="W18" s="27">
        <v>67</v>
      </c>
      <c r="X18" s="28" t="s">
        <v>58</v>
      </c>
    </row>
    <row r="19" spans="1:24" ht="16" thickBot="1" x14ac:dyDescent="0.25">
      <c r="A19" s="20" t="s">
        <v>64</v>
      </c>
      <c r="B19" s="21">
        <v>48</v>
      </c>
      <c r="C19" s="22">
        <v>21</v>
      </c>
      <c r="D19" s="22">
        <v>22</v>
      </c>
      <c r="E19" s="22">
        <f>23+1</f>
        <v>24</v>
      </c>
      <c r="F19" s="22">
        <f>20+2</f>
        <v>22</v>
      </c>
      <c r="G19" s="22">
        <f>35+3</f>
        <v>38</v>
      </c>
      <c r="H19" s="22"/>
      <c r="I19" s="22"/>
      <c r="J19" s="22"/>
      <c r="K19" s="22"/>
      <c r="L19" s="22"/>
      <c r="M19" s="22"/>
      <c r="N19" s="22"/>
      <c r="O19" s="23">
        <f>SUM(B19:N19)</f>
        <v>175</v>
      </c>
      <c r="P19" s="23">
        <f>SUM(C19:N19)</f>
        <v>127</v>
      </c>
      <c r="Q19" s="22">
        <v>26</v>
      </c>
      <c r="R19" s="22">
        <v>3</v>
      </c>
      <c r="S19" s="24">
        <v>308</v>
      </c>
      <c r="T19" s="33">
        <f>((B19-Q19)*0.5)+(Q19*1.5)+(P19-R19)+(R19*3)</f>
        <v>183</v>
      </c>
      <c r="U19" s="26">
        <f t="shared" si="6"/>
        <v>0.5941558441558441</v>
      </c>
      <c r="V19" s="26">
        <v>0.5941558441558441</v>
      </c>
      <c r="W19" s="27">
        <v>50</v>
      </c>
      <c r="X19" s="28" t="s">
        <v>58</v>
      </c>
    </row>
    <row r="20" spans="1:24" ht="16" thickBot="1" x14ac:dyDescent="0.25">
      <c r="A20" s="20" t="s">
        <v>28</v>
      </c>
      <c r="B20" s="21">
        <v>25</v>
      </c>
      <c r="C20" s="22">
        <v>12</v>
      </c>
      <c r="D20" s="22">
        <v>17</v>
      </c>
      <c r="E20" s="22">
        <v>14</v>
      </c>
      <c r="F20" s="22">
        <v>14</v>
      </c>
      <c r="G20" s="22">
        <v>15</v>
      </c>
      <c r="H20" s="22">
        <v>12</v>
      </c>
      <c r="I20" s="22">
        <v>25</v>
      </c>
      <c r="J20" s="22">
        <v>11</v>
      </c>
      <c r="K20" s="22">
        <v>13</v>
      </c>
      <c r="L20" s="22"/>
      <c r="M20" s="22"/>
      <c r="N20" s="22"/>
      <c r="O20" s="23">
        <f>SUM(B20:N20)</f>
        <v>158</v>
      </c>
      <c r="P20" s="23">
        <f>SUM(C20:N20)</f>
        <v>133</v>
      </c>
      <c r="Q20" s="22">
        <v>5</v>
      </c>
      <c r="R20" s="22">
        <v>9</v>
      </c>
      <c r="S20" s="24">
        <v>420</v>
      </c>
      <c r="T20" s="25">
        <f>((B20-Q20)*0.5)+(Q20*1.5)+(P20-R20)+(R20*3)</f>
        <v>168.5</v>
      </c>
      <c r="U20" s="34">
        <f t="shared" si="6"/>
        <v>0.40119047619047621</v>
      </c>
      <c r="V20" s="34">
        <v>0.40119047619047621</v>
      </c>
      <c r="W20" s="27">
        <v>34</v>
      </c>
      <c r="X20" s="28" t="s">
        <v>58</v>
      </c>
    </row>
    <row r="21" spans="1:24" ht="16" thickBot="1" x14ac:dyDescent="0.25">
      <c r="A21" s="35"/>
      <c r="B21" s="36">
        <f t="shared" ref="B21:S21" si="9">SUM(B3:B20)</f>
        <v>388</v>
      </c>
      <c r="C21" s="37">
        <f t="shared" si="9"/>
        <v>384</v>
      </c>
      <c r="D21" s="37">
        <f t="shared" si="9"/>
        <v>362</v>
      </c>
      <c r="E21" s="37">
        <f t="shared" si="9"/>
        <v>391</v>
      </c>
      <c r="F21" s="37">
        <f t="shared" si="9"/>
        <v>387</v>
      </c>
      <c r="G21" s="37">
        <f t="shared" si="9"/>
        <v>446</v>
      </c>
      <c r="H21" s="37">
        <f t="shared" si="9"/>
        <v>380</v>
      </c>
      <c r="I21" s="37">
        <f t="shared" si="9"/>
        <v>454</v>
      </c>
      <c r="J21" s="37">
        <f t="shared" si="9"/>
        <v>468</v>
      </c>
      <c r="K21" s="37">
        <f t="shared" si="9"/>
        <v>488</v>
      </c>
      <c r="L21" s="37">
        <f t="shared" si="9"/>
        <v>390</v>
      </c>
      <c r="M21" s="37">
        <f t="shared" si="9"/>
        <v>364</v>
      </c>
      <c r="N21" s="37">
        <f t="shared" si="9"/>
        <v>395</v>
      </c>
      <c r="O21" s="37">
        <f t="shared" si="9"/>
        <v>5297</v>
      </c>
      <c r="P21" s="37">
        <f t="shared" si="9"/>
        <v>4909</v>
      </c>
      <c r="Q21" s="37">
        <f t="shared" si="9"/>
        <v>79</v>
      </c>
      <c r="R21" s="37">
        <f t="shared" si="9"/>
        <v>178</v>
      </c>
      <c r="S21" s="37">
        <f t="shared" si="9"/>
        <v>8369</v>
      </c>
      <c r="T21" s="38">
        <f>SUM(T3:T20)</f>
        <v>5464</v>
      </c>
      <c r="U21" s="39">
        <f>T21/S21</f>
        <v>0.65288564942048033</v>
      </c>
      <c r="V21" s="39">
        <f>5464/8704</f>
        <v>0.62775735294117652</v>
      </c>
      <c r="W21" s="39">
        <f>5582/8758</f>
        <v>0.63736012788307828</v>
      </c>
      <c r="X21" s="14"/>
    </row>
    <row r="22" spans="1:24" ht="15" x14ac:dyDescent="0.2">
      <c r="A22" s="35"/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2"/>
      <c r="M22" s="42"/>
      <c r="N22" s="43" t="s">
        <v>65</v>
      </c>
      <c r="O22" s="42"/>
      <c r="P22" s="43">
        <f>P21-P13</f>
        <v>4837</v>
      </c>
      <c r="Q22" s="43">
        <v>79</v>
      </c>
      <c r="R22" s="43">
        <v>177</v>
      </c>
      <c r="S22" s="44">
        <v>8704</v>
      </c>
      <c r="T22" s="38"/>
      <c r="U22" s="45">
        <f>U21-V21</f>
        <v>2.5128296479303813E-2</v>
      </c>
      <c r="V22" s="46"/>
      <c r="W22" s="47"/>
      <c r="X22" s="14"/>
    </row>
    <row r="23" spans="1:24" ht="15" x14ac:dyDescent="0.2">
      <c r="A23" s="67" t="s">
        <v>66</v>
      </c>
      <c r="B23" s="67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8"/>
      <c r="P23" s="48"/>
      <c r="Q23" s="41"/>
      <c r="R23" s="41"/>
      <c r="S23" s="49"/>
      <c r="T23" s="38"/>
      <c r="U23" s="50"/>
      <c r="V23" s="50"/>
      <c r="W23" s="14"/>
      <c r="X23" s="14"/>
    </row>
    <row r="24" spans="1:24" ht="15" x14ac:dyDescent="0.2">
      <c r="A24" s="16" t="s">
        <v>67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</row>
    <row r="25" spans="1:24" ht="15" x14ac:dyDescent="0.2">
      <c r="A25" s="51" t="s">
        <v>68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</row>
    <row r="26" spans="1:24" ht="15" x14ac:dyDescent="0.2">
      <c r="A26" s="52" t="s">
        <v>69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</row>
    <row r="28" spans="1:24" ht="21" x14ac:dyDescent="0.25">
      <c r="A28" s="66" t="s">
        <v>70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13"/>
      <c r="W28" s="14"/>
      <c r="X28" s="14"/>
    </row>
    <row r="29" spans="1:24" ht="31" thickBot="1" x14ac:dyDescent="0.25">
      <c r="A29" s="16"/>
      <c r="B29" s="17" t="s">
        <v>48</v>
      </c>
      <c r="C29" s="17">
        <v>1</v>
      </c>
      <c r="D29" s="17">
        <v>2</v>
      </c>
      <c r="E29" s="17">
        <v>3</v>
      </c>
      <c r="F29" s="17">
        <v>4</v>
      </c>
      <c r="G29" s="17">
        <v>5</v>
      </c>
      <c r="H29" s="17">
        <v>6</v>
      </c>
      <c r="I29" s="17">
        <v>7</v>
      </c>
      <c r="J29" s="17">
        <v>8</v>
      </c>
      <c r="K29" s="17">
        <v>9</v>
      </c>
      <c r="L29" s="17">
        <v>10</v>
      </c>
      <c r="M29" s="17">
        <v>11</v>
      </c>
      <c r="N29" s="17">
        <v>12</v>
      </c>
      <c r="O29" s="18" t="s">
        <v>49</v>
      </c>
      <c r="P29" s="19" t="s">
        <v>50</v>
      </c>
      <c r="Q29" s="19" t="s">
        <v>51</v>
      </c>
      <c r="R29" s="19" t="s">
        <v>52</v>
      </c>
      <c r="S29" s="19" t="s">
        <v>53</v>
      </c>
      <c r="T29" s="19" t="s">
        <v>54</v>
      </c>
      <c r="U29" s="19" t="s">
        <v>71</v>
      </c>
      <c r="V29" s="19" t="s">
        <v>56</v>
      </c>
      <c r="W29" s="19" t="s">
        <v>57</v>
      </c>
      <c r="X29" s="14"/>
    </row>
    <row r="30" spans="1:24" ht="16" thickBot="1" x14ac:dyDescent="0.25">
      <c r="A30" s="20" t="s">
        <v>9</v>
      </c>
      <c r="B30" s="21">
        <v>29</v>
      </c>
      <c r="C30" s="22">
        <v>27</v>
      </c>
      <c r="D30" s="22">
        <v>32</v>
      </c>
      <c r="E30" s="22">
        <v>27</v>
      </c>
      <c r="F30" s="22">
        <v>40</v>
      </c>
      <c r="G30" s="22">
        <v>36</v>
      </c>
      <c r="H30" s="22">
        <v>30</v>
      </c>
      <c r="I30" s="22"/>
      <c r="J30" s="22"/>
      <c r="K30" s="22"/>
      <c r="L30" s="22"/>
      <c r="M30" s="22"/>
      <c r="N30" s="22"/>
      <c r="O30" s="23">
        <f>SUM(B30:N30)</f>
        <v>221</v>
      </c>
      <c r="P30" s="23">
        <f>SUM(C30:N30)</f>
        <v>192</v>
      </c>
      <c r="Q30" s="22">
        <v>5</v>
      </c>
      <c r="R30" s="22">
        <v>9</v>
      </c>
      <c r="S30" s="24">
        <v>396</v>
      </c>
      <c r="T30" s="25">
        <f>((B30-Q30)*0.5)+(Q30*1.5)+(P30-R30)+(R30*3)</f>
        <v>229.5</v>
      </c>
      <c r="U30" s="26">
        <f t="shared" ref="U30:U39" si="10">T30/S30</f>
        <v>0.57954545454545459</v>
      </c>
      <c r="V30" s="26">
        <v>0.52398989898989901</v>
      </c>
      <c r="W30" s="27">
        <v>56</v>
      </c>
      <c r="X30" s="28" t="s">
        <v>58</v>
      </c>
    </row>
    <row r="31" spans="1:24" ht="16" thickBot="1" x14ac:dyDescent="0.25">
      <c r="A31" s="20" t="s">
        <v>11</v>
      </c>
      <c r="B31" s="21">
        <v>56</v>
      </c>
      <c r="C31" s="22">
        <v>26</v>
      </c>
      <c r="D31" s="22">
        <v>33</v>
      </c>
      <c r="E31" s="22">
        <v>27</v>
      </c>
      <c r="F31" s="22">
        <v>26</v>
      </c>
      <c r="G31" s="22">
        <v>24</v>
      </c>
      <c r="H31" s="22">
        <v>34</v>
      </c>
      <c r="I31" s="22"/>
      <c r="J31" s="22"/>
      <c r="K31" s="22"/>
      <c r="L31" s="22"/>
      <c r="M31" s="22"/>
      <c r="N31" s="22"/>
      <c r="O31" s="23">
        <f t="shared" ref="O31:O41" si="11">SUM(B31:N31)</f>
        <v>226</v>
      </c>
      <c r="P31" s="23">
        <f t="shared" ref="P31:P41" si="12">SUM(C31:N31)</f>
        <v>170</v>
      </c>
      <c r="Q31" s="22">
        <v>15</v>
      </c>
      <c r="R31" s="22">
        <f>25-Q31</f>
        <v>10</v>
      </c>
      <c r="S31" s="24">
        <v>347</v>
      </c>
      <c r="T31" s="25">
        <f>((B31-Q31)*0.5)+(Q31*1.5)+(P31-R31)+(R31*3)</f>
        <v>233</v>
      </c>
      <c r="U31" s="26">
        <f t="shared" si="10"/>
        <v>0.67146974063400577</v>
      </c>
      <c r="V31" s="26">
        <v>0.61239193083573484</v>
      </c>
      <c r="W31" s="27">
        <v>65</v>
      </c>
      <c r="X31" s="28" t="s">
        <v>58</v>
      </c>
    </row>
    <row r="32" spans="1:24" ht="16" thickBot="1" x14ac:dyDescent="0.25">
      <c r="A32" s="20" t="s">
        <v>13</v>
      </c>
      <c r="B32" s="21">
        <v>21</v>
      </c>
      <c r="C32" s="22">
        <v>33</v>
      </c>
      <c r="D32" s="22">
        <v>17</v>
      </c>
      <c r="E32" s="22">
        <v>32</v>
      </c>
      <c r="F32" s="22">
        <v>15</v>
      </c>
      <c r="G32" s="22">
        <v>21</v>
      </c>
      <c r="H32" s="22">
        <v>28</v>
      </c>
      <c r="I32" s="22"/>
      <c r="J32" s="22"/>
      <c r="K32" s="22"/>
      <c r="L32" s="22"/>
      <c r="M32" s="22"/>
      <c r="N32" s="22"/>
      <c r="O32" s="23">
        <f t="shared" si="11"/>
        <v>167</v>
      </c>
      <c r="P32" s="23">
        <f t="shared" si="12"/>
        <v>146</v>
      </c>
      <c r="Q32" s="24">
        <v>0</v>
      </c>
      <c r="R32" s="24">
        <v>2</v>
      </c>
      <c r="S32" s="24">
        <v>313</v>
      </c>
      <c r="T32" s="25">
        <f>((B32-Q32)*0.5)+(Q32*1.5)+(P32-R32)+(R32*3)</f>
        <v>160.5</v>
      </c>
      <c r="U32" s="26">
        <f t="shared" si="10"/>
        <v>0.51277955271565501</v>
      </c>
      <c r="V32" s="26">
        <v>0.52396166134185307</v>
      </c>
      <c r="W32" s="27">
        <v>65</v>
      </c>
      <c r="X32" s="28" t="s">
        <v>58</v>
      </c>
    </row>
    <row r="33" spans="1:24" ht="16" thickBot="1" x14ac:dyDescent="0.25">
      <c r="A33" s="20" t="s">
        <v>15</v>
      </c>
      <c r="B33" s="21">
        <v>35</v>
      </c>
      <c r="C33" s="22">
        <v>38</v>
      </c>
      <c r="D33" s="22">
        <v>33</v>
      </c>
      <c r="E33" s="22">
        <v>44</v>
      </c>
      <c r="F33" s="22">
        <v>45</v>
      </c>
      <c r="G33" s="22">
        <v>47</v>
      </c>
      <c r="H33" s="22">
        <v>59</v>
      </c>
      <c r="I33" s="22"/>
      <c r="J33" s="22"/>
      <c r="K33" s="22"/>
      <c r="L33" s="22"/>
      <c r="M33" s="22"/>
      <c r="N33" s="22"/>
      <c r="O33" s="23">
        <f t="shared" si="11"/>
        <v>301</v>
      </c>
      <c r="P33" s="23">
        <f t="shared" si="12"/>
        <v>266</v>
      </c>
      <c r="Q33" s="24">
        <v>1</v>
      </c>
      <c r="R33" s="24">
        <v>7</v>
      </c>
      <c r="S33" s="24">
        <v>434</v>
      </c>
      <c r="T33" s="25">
        <f>((B33-Q33)*0.5)+(Q33*1.5)+(P33-R33)+(R33*3)</f>
        <v>298.5</v>
      </c>
      <c r="U33" s="26">
        <f t="shared" si="10"/>
        <v>0.68778801843317972</v>
      </c>
      <c r="V33" s="26">
        <v>0.72350230414746541</v>
      </c>
      <c r="W33" s="27">
        <v>74</v>
      </c>
      <c r="X33" s="28" t="s">
        <v>58</v>
      </c>
    </row>
    <row r="34" spans="1:24" ht="16" thickBot="1" x14ac:dyDescent="0.25">
      <c r="A34" s="20" t="s">
        <v>20</v>
      </c>
      <c r="B34" s="21"/>
      <c r="C34" s="22"/>
      <c r="D34" s="22"/>
      <c r="E34" s="22"/>
      <c r="F34" s="22"/>
      <c r="G34" s="22"/>
      <c r="H34" s="22"/>
      <c r="I34" s="22">
        <v>66</v>
      </c>
      <c r="J34" s="22">
        <v>76</v>
      </c>
      <c r="K34" s="22">
        <v>77</v>
      </c>
      <c r="L34" s="22"/>
      <c r="M34" s="22"/>
      <c r="N34" s="22"/>
      <c r="O34" s="23">
        <f t="shared" si="11"/>
        <v>219</v>
      </c>
      <c r="P34" s="23">
        <f t="shared" si="12"/>
        <v>219</v>
      </c>
      <c r="Q34" s="22"/>
      <c r="R34" s="22">
        <v>5</v>
      </c>
      <c r="S34" s="24">
        <v>602</v>
      </c>
      <c r="T34" s="29">
        <f>(P34-R34)+(R34*3)</f>
        <v>229</v>
      </c>
      <c r="U34" s="26">
        <f t="shared" si="10"/>
        <v>0.38039867109634551</v>
      </c>
      <c r="V34" s="26">
        <v>0.41528239202657807</v>
      </c>
      <c r="W34" s="27">
        <v>44</v>
      </c>
      <c r="X34" s="28" t="s">
        <v>58</v>
      </c>
    </row>
    <row r="35" spans="1:24" ht="16" thickBot="1" x14ac:dyDescent="0.25">
      <c r="A35" s="20" t="s">
        <v>26</v>
      </c>
      <c r="B35" s="21">
        <v>49</v>
      </c>
      <c r="C35" s="22">
        <v>37</v>
      </c>
      <c r="D35" s="22">
        <v>55</v>
      </c>
      <c r="E35" s="22">
        <v>51</v>
      </c>
      <c r="F35" s="22">
        <v>59</v>
      </c>
      <c r="G35" s="22">
        <v>59</v>
      </c>
      <c r="H35" s="22">
        <v>73</v>
      </c>
      <c r="I35" s="22"/>
      <c r="J35" s="22"/>
      <c r="K35" s="22"/>
      <c r="L35" s="22"/>
      <c r="M35" s="22"/>
      <c r="N35" s="22"/>
      <c r="O35" s="23">
        <f t="shared" si="11"/>
        <v>383</v>
      </c>
      <c r="P35" s="23">
        <f t="shared" si="12"/>
        <v>334</v>
      </c>
      <c r="Q35" s="22">
        <v>1</v>
      </c>
      <c r="R35" s="22">
        <v>7</v>
      </c>
      <c r="S35" s="24">
        <v>521</v>
      </c>
      <c r="T35" s="25">
        <f>((B35-Q35)*0.5)+(Q35*1.5)+(P35-R35)+(R35*3)</f>
        <v>373.5</v>
      </c>
      <c r="U35" s="26">
        <f t="shared" si="10"/>
        <v>0.71689059500959695</v>
      </c>
      <c r="V35" s="26">
        <v>0.73512476007677541</v>
      </c>
      <c r="W35" s="27">
        <v>77</v>
      </c>
      <c r="X35" s="28" t="s">
        <v>58</v>
      </c>
    </row>
    <row r="36" spans="1:24" ht="16" thickBot="1" x14ac:dyDescent="0.25">
      <c r="A36" s="20" t="s">
        <v>33</v>
      </c>
      <c r="B36" s="21">
        <v>65</v>
      </c>
      <c r="C36" s="22">
        <v>51</v>
      </c>
      <c r="D36" s="22">
        <v>64</v>
      </c>
      <c r="E36" s="22">
        <v>53</v>
      </c>
      <c r="F36" s="22">
        <v>64</v>
      </c>
      <c r="G36" s="22">
        <v>43</v>
      </c>
      <c r="H36" s="22">
        <v>72</v>
      </c>
      <c r="I36" s="22"/>
      <c r="J36" s="22"/>
      <c r="K36" s="22"/>
      <c r="L36" s="22"/>
      <c r="M36" s="22"/>
      <c r="N36" s="22"/>
      <c r="O36" s="23">
        <f t="shared" si="11"/>
        <v>412</v>
      </c>
      <c r="P36" s="23">
        <f t="shared" si="12"/>
        <v>347</v>
      </c>
      <c r="Q36" s="22">
        <v>5</v>
      </c>
      <c r="R36" s="22">
        <v>7</v>
      </c>
      <c r="S36" s="24">
        <v>464</v>
      </c>
      <c r="T36" s="25">
        <f>((B36-Q36)*0.5)+(Q36*1.5)+(P36-R36)+(R36*3)</f>
        <v>398.5</v>
      </c>
      <c r="U36" s="26">
        <f t="shared" si="10"/>
        <v>0.85883620689655171</v>
      </c>
      <c r="V36" s="26">
        <v>0.79741379310344829</v>
      </c>
      <c r="W36" s="27">
        <v>85</v>
      </c>
      <c r="X36" s="28" t="s">
        <v>58</v>
      </c>
    </row>
    <row r="37" spans="1:24" ht="16" thickBot="1" x14ac:dyDescent="0.25">
      <c r="A37" s="20" t="s">
        <v>35</v>
      </c>
      <c r="B37" s="21"/>
      <c r="C37" s="22"/>
      <c r="D37" s="22"/>
      <c r="E37" s="22"/>
      <c r="F37" s="22"/>
      <c r="G37" s="22"/>
      <c r="H37" s="22"/>
      <c r="I37" s="22">
        <v>102</v>
      </c>
      <c r="J37" s="22">
        <v>115</v>
      </c>
      <c r="K37" s="22">
        <v>121</v>
      </c>
      <c r="L37" s="22"/>
      <c r="M37" s="22"/>
      <c r="N37" s="22"/>
      <c r="O37" s="23">
        <f t="shared" si="11"/>
        <v>338</v>
      </c>
      <c r="P37" s="23">
        <f t="shared" si="12"/>
        <v>338</v>
      </c>
      <c r="Q37" s="22"/>
      <c r="R37" s="22">
        <v>12</v>
      </c>
      <c r="S37" s="30">
        <v>446</v>
      </c>
      <c r="T37" s="29">
        <f>(P37-R37)+(R37*3)</f>
        <v>362</v>
      </c>
      <c r="U37" s="26">
        <f t="shared" si="10"/>
        <v>0.81165919282511212</v>
      </c>
      <c r="V37" s="26">
        <v>0.71751412429378536</v>
      </c>
      <c r="W37" s="27">
        <v>72</v>
      </c>
      <c r="X37" s="28" t="s">
        <v>58</v>
      </c>
    </row>
    <row r="38" spans="1:24" ht="16" thickBot="1" x14ac:dyDescent="0.25">
      <c r="A38" s="20" t="s">
        <v>37</v>
      </c>
      <c r="B38" s="21">
        <v>36</v>
      </c>
      <c r="C38" s="22">
        <v>36</v>
      </c>
      <c r="D38" s="22">
        <v>33</v>
      </c>
      <c r="E38" s="22">
        <v>36</v>
      </c>
      <c r="F38" s="22">
        <v>38</v>
      </c>
      <c r="G38" s="22">
        <v>30</v>
      </c>
      <c r="H38" s="22">
        <v>26</v>
      </c>
      <c r="I38" s="22">
        <v>28</v>
      </c>
      <c r="J38" s="22">
        <v>21</v>
      </c>
      <c r="K38" s="22">
        <v>23</v>
      </c>
      <c r="L38" s="22"/>
      <c r="M38" s="22"/>
      <c r="N38" s="22"/>
      <c r="O38" s="23">
        <f t="shared" si="11"/>
        <v>307</v>
      </c>
      <c r="P38" s="23">
        <f t="shared" si="12"/>
        <v>271</v>
      </c>
      <c r="Q38" s="22">
        <v>3</v>
      </c>
      <c r="R38" s="22">
        <v>8</v>
      </c>
      <c r="S38" s="24">
        <v>395</v>
      </c>
      <c r="T38" s="29">
        <f>((B38-Q38)*0.5)+(Q38*1.5)+(P38-R38)+(R38*3)</f>
        <v>308</v>
      </c>
      <c r="U38" s="26">
        <f t="shared" si="10"/>
        <v>0.77974683544303802</v>
      </c>
      <c r="V38" s="26">
        <v>0.65189873417721522</v>
      </c>
      <c r="W38" s="27">
        <v>54</v>
      </c>
      <c r="X38" s="28" t="s">
        <v>58</v>
      </c>
    </row>
    <row r="39" spans="1:24" ht="16" thickBot="1" x14ac:dyDescent="0.25">
      <c r="A39" s="20" t="s">
        <v>39</v>
      </c>
      <c r="B39" s="31"/>
      <c r="C39" s="22"/>
      <c r="D39" s="22"/>
      <c r="E39" s="22"/>
      <c r="F39" s="22"/>
      <c r="G39" s="22"/>
      <c r="H39" s="22"/>
      <c r="I39" s="22"/>
      <c r="J39" s="22"/>
      <c r="K39" s="22"/>
      <c r="L39" s="22">
        <v>242</v>
      </c>
      <c r="M39" s="22">
        <v>258</v>
      </c>
      <c r="N39" s="22">
        <v>226</v>
      </c>
      <c r="O39" s="23">
        <f t="shared" si="11"/>
        <v>726</v>
      </c>
      <c r="P39" s="23">
        <f t="shared" si="12"/>
        <v>726</v>
      </c>
      <c r="Q39" s="22"/>
      <c r="R39" s="22">
        <v>21</v>
      </c>
      <c r="S39" s="24">
        <v>1008</v>
      </c>
      <c r="T39" s="25">
        <f>((B39-Q39)*0.5)+(Q39*1.5)+(P39-R39)+(R39*3)</f>
        <v>768</v>
      </c>
      <c r="U39" s="26">
        <f t="shared" si="10"/>
        <v>0.76190476190476186</v>
      </c>
      <c r="V39" s="26">
        <v>0.67956349206349209</v>
      </c>
      <c r="W39" s="27">
        <v>74</v>
      </c>
      <c r="X39" s="28" t="s">
        <v>58</v>
      </c>
    </row>
    <row r="40" spans="1:24" ht="16" thickBot="1" x14ac:dyDescent="0.25">
      <c r="A40" s="20" t="s">
        <v>41</v>
      </c>
      <c r="B40" s="21"/>
      <c r="C40" s="22"/>
      <c r="D40" s="22"/>
      <c r="E40" s="22"/>
      <c r="F40" s="22"/>
      <c r="G40" s="22"/>
      <c r="H40" s="22"/>
      <c r="I40" s="22"/>
      <c r="J40" s="22">
        <v>10</v>
      </c>
      <c r="K40" s="22">
        <v>9</v>
      </c>
      <c r="L40" s="22">
        <v>12</v>
      </c>
      <c r="M40" s="22">
        <v>14</v>
      </c>
      <c r="N40" s="22">
        <v>56</v>
      </c>
      <c r="O40" s="23">
        <f t="shared" si="11"/>
        <v>101</v>
      </c>
      <c r="P40" s="23">
        <f t="shared" si="12"/>
        <v>101</v>
      </c>
      <c r="Q40" s="22"/>
      <c r="R40" s="22">
        <v>2</v>
      </c>
      <c r="S40" s="24"/>
      <c r="T40" s="32"/>
      <c r="U40" s="26"/>
      <c r="V40" s="26"/>
      <c r="W40" s="27"/>
      <c r="X40" s="28" t="s">
        <v>58</v>
      </c>
    </row>
    <row r="41" spans="1:24" ht="16" thickBot="1" x14ac:dyDescent="0.25">
      <c r="A41" s="20" t="s">
        <v>44</v>
      </c>
      <c r="B41" s="21"/>
      <c r="C41" s="22"/>
      <c r="D41" s="22"/>
      <c r="E41" s="22"/>
      <c r="F41" s="22"/>
      <c r="G41" s="22"/>
      <c r="H41" s="22"/>
      <c r="I41" s="22">
        <v>122</v>
      </c>
      <c r="J41" s="22">
        <v>131</v>
      </c>
      <c r="K41" s="22">
        <v>130</v>
      </c>
      <c r="L41" s="22"/>
      <c r="M41" s="22"/>
      <c r="N41" s="22"/>
      <c r="O41" s="23">
        <f t="shared" si="11"/>
        <v>383</v>
      </c>
      <c r="P41" s="23">
        <f t="shared" si="12"/>
        <v>383</v>
      </c>
      <c r="Q41" s="22"/>
      <c r="R41" s="22">
        <v>16</v>
      </c>
      <c r="S41" s="30">
        <v>600</v>
      </c>
      <c r="T41" s="29">
        <f>(P41-R41)+(R41*3)</f>
        <v>415</v>
      </c>
      <c r="U41" s="26">
        <f t="shared" ref="U41:U47" si="13">T41/S41</f>
        <v>0.69166666666666665</v>
      </c>
      <c r="V41" s="26">
        <v>0.61515601783060925</v>
      </c>
      <c r="W41" s="27">
        <v>60</v>
      </c>
      <c r="X41" s="28" t="s">
        <v>58</v>
      </c>
    </row>
    <row r="42" spans="1:24" ht="16" thickBot="1" x14ac:dyDescent="0.25">
      <c r="A42" s="20" t="s">
        <v>24</v>
      </c>
      <c r="B42" s="21">
        <v>40</v>
      </c>
      <c r="C42" s="22">
        <v>21</v>
      </c>
      <c r="D42" s="22">
        <v>19</v>
      </c>
      <c r="E42" s="22">
        <v>17</v>
      </c>
      <c r="F42" s="22">
        <v>26</v>
      </c>
      <c r="G42" s="22">
        <v>32</v>
      </c>
      <c r="H42" s="22">
        <v>22</v>
      </c>
      <c r="I42" s="22"/>
      <c r="J42" s="22"/>
      <c r="K42" s="22"/>
      <c r="L42" s="22"/>
      <c r="M42" s="22"/>
      <c r="N42" s="22"/>
      <c r="O42" s="23">
        <f t="shared" ref="O42" si="14">SUM(B42:N42)</f>
        <v>177</v>
      </c>
      <c r="P42" s="23">
        <f t="shared" ref="P42" si="15">SUM(C42:N42)</f>
        <v>137</v>
      </c>
      <c r="Q42" s="24">
        <v>21</v>
      </c>
      <c r="R42" s="24">
        <v>13</v>
      </c>
      <c r="S42" s="24">
        <v>444</v>
      </c>
      <c r="T42" s="25">
        <f>((B42-Q42)*0.5)+(Q42*1.5)+(P42-R42)+(R42*3)</f>
        <v>204</v>
      </c>
      <c r="U42" s="26">
        <f t="shared" si="13"/>
        <v>0.45945945945945948</v>
      </c>
      <c r="V42" s="26">
        <v>0.41103603603603606</v>
      </c>
      <c r="W42" s="27">
        <v>41</v>
      </c>
      <c r="X42" s="28" t="s">
        <v>58</v>
      </c>
    </row>
    <row r="43" spans="1:24" ht="16" thickBot="1" x14ac:dyDescent="0.25">
      <c r="A43" s="20" t="s">
        <v>22</v>
      </c>
      <c r="B43" s="21"/>
      <c r="C43" s="22"/>
      <c r="D43" s="22"/>
      <c r="E43" s="22"/>
      <c r="F43" s="22"/>
      <c r="G43" s="22"/>
      <c r="H43" s="22">
        <f>93+3</f>
        <v>96</v>
      </c>
      <c r="I43" s="22">
        <f>90+2</f>
        <v>92</v>
      </c>
      <c r="J43" s="22">
        <f>102+2</f>
        <v>104</v>
      </c>
      <c r="K43" s="22"/>
      <c r="L43" s="22"/>
      <c r="M43" s="22"/>
      <c r="N43" s="22"/>
      <c r="O43" s="23">
        <f>SUM(B43:N43)</f>
        <v>292</v>
      </c>
      <c r="P43" s="23">
        <f>SUM(C43:N43)</f>
        <v>292</v>
      </c>
      <c r="Q43" s="22"/>
      <c r="R43" s="22">
        <v>15</v>
      </c>
      <c r="S43" s="30">
        <v>429</v>
      </c>
      <c r="T43" s="23">
        <f>(P43-R43)+(R43*3)</f>
        <v>322</v>
      </c>
      <c r="U43" s="26">
        <f t="shared" si="13"/>
        <v>0.75058275058275059</v>
      </c>
      <c r="V43" s="26">
        <v>0.61380597014925375</v>
      </c>
      <c r="W43" s="27">
        <v>65</v>
      </c>
      <c r="X43" s="28" t="s">
        <v>58</v>
      </c>
    </row>
    <row r="44" spans="1:24" ht="16" thickBot="1" x14ac:dyDescent="0.25">
      <c r="A44" s="20" t="s">
        <v>31</v>
      </c>
      <c r="B44" s="21"/>
      <c r="C44" s="22"/>
      <c r="D44" s="22"/>
      <c r="E44" s="22" t="s">
        <v>61</v>
      </c>
      <c r="F44" s="22"/>
      <c r="G44" s="22"/>
      <c r="H44" s="22"/>
      <c r="I44" s="22"/>
      <c r="J44" s="22"/>
      <c r="K44" s="22">
        <f>131</f>
        <v>131</v>
      </c>
      <c r="L44" s="22">
        <f>128+2</f>
        <v>130</v>
      </c>
      <c r="M44" s="22">
        <f>118+1</f>
        <v>119</v>
      </c>
      <c r="N44" s="22">
        <f>153+2</f>
        <v>155</v>
      </c>
      <c r="O44" s="23">
        <f>SUM(B44:N44)</f>
        <v>535</v>
      </c>
      <c r="P44" s="23">
        <f>SUM(C44:N44)</f>
        <v>535</v>
      </c>
      <c r="Q44" s="22"/>
      <c r="R44" s="22">
        <v>32</v>
      </c>
      <c r="S44" s="24">
        <v>758</v>
      </c>
      <c r="T44" s="29">
        <f>(P44-R44)+(R44*3)</f>
        <v>599</v>
      </c>
      <c r="U44" s="26">
        <f t="shared" si="13"/>
        <v>0.79023746701846964</v>
      </c>
      <c r="V44" s="26">
        <v>0.78100263852242746</v>
      </c>
      <c r="W44" s="27">
        <v>77</v>
      </c>
      <c r="X44" s="28" t="s">
        <v>58</v>
      </c>
    </row>
    <row r="45" spans="1:24" ht="16" thickBot="1" x14ac:dyDescent="0.25">
      <c r="A45" s="20" t="s">
        <v>63</v>
      </c>
      <c r="B45" s="21">
        <v>47</v>
      </c>
      <c r="C45" s="22">
        <v>53</v>
      </c>
      <c r="D45" s="22">
        <v>62</v>
      </c>
      <c r="E45" s="22">
        <f>58</f>
        <v>58</v>
      </c>
      <c r="F45" s="22">
        <v>62</v>
      </c>
      <c r="G45" s="22">
        <v>66</v>
      </c>
      <c r="H45" s="22"/>
      <c r="I45" s="22"/>
      <c r="J45" s="22"/>
      <c r="K45" s="22"/>
      <c r="L45" s="22"/>
      <c r="M45" s="22"/>
      <c r="N45" s="22"/>
      <c r="O45" s="23">
        <f>SUM(B45:N45)</f>
        <v>348</v>
      </c>
      <c r="P45" s="23">
        <f>SUM(C45:N45)</f>
        <v>301</v>
      </c>
      <c r="Q45" s="22">
        <v>4</v>
      </c>
      <c r="R45" s="22">
        <v>12</v>
      </c>
      <c r="S45" s="30">
        <v>484</v>
      </c>
      <c r="T45" s="33">
        <f>((B45-Q45)*0.5)+(Q45*1.5)+(P45-R45)+(R45*3)</f>
        <v>352.5</v>
      </c>
      <c r="U45" s="26">
        <f t="shared" si="13"/>
        <v>0.72830578512396693</v>
      </c>
      <c r="V45" s="26">
        <v>0.66877256317689526</v>
      </c>
      <c r="W45" s="27">
        <v>67</v>
      </c>
      <c r="X45" s="28" t="s">
        <v>58</v>
      </c>
    </row>
    <row r="46" spans="1:24" ht="16" thickBot="1" x14ac:dyDescent="0.25">
      <c r="A46" s="20" t="s">
        <v>64</v>
      </c>
      <c r="B46" s="21">
        <v>44</v>
      </c>
      <c r="C46" s="22">
        <v>26</v>
      </c>
      <c r="D46" s="22">
        <v>25</v>
      </c>
      <c r="E46" s="22">
        <f>25+1</f>
        <v>26</v>
      </c>
      <c r="F46" s="22">
        <f>20+2</f>
        <v>22</v>
      </c>
      <c r="G46" s="22">
        <f>20+3</f>
        <v>23</v>
      </c>
      <c r="H46" s="22"/>
      <c r="I46" s="22"/>
      <c r="J46" s="22"/>
      <c r="K46" s="22"/>
      <c r="L46" s="22"/>
      <c r="M46" s="22"/>
      <c r="N46" s="22"/>
      <c r="O46" s="23">
        <f>SUM(B46:N46)</f>
        <v>166</v>
      </c>
      <c r="P46" s="23">
        <f>SUM(C46:N46)</f>
        <v>122</v>
      </c>
      <c r="Q46" s="22">
        <v>16</v>
      </c>
      <c r="R46" s="22">
        <v>4</v>
      </c>
      <c r="S46" s="24">
        <v>308</v>
      </c>
      <c r="T46" s="33">
        <f>((B46-Q46)*0.5)+(Q46*1.5)+(P46-R46)+(R46*3)</f>
        <v>168</v>
      </c>
      <c r="U46" s="26">
        <f t="shared" si="13"/>
        <v>0.54545454545454541</v>
      </c>
      <c r="V46" s="26">
        <v>0.5941558441558441</v>
      </c>
      <c r="W46" s="27">
        <v>50</v>
      </c>
      <c r="X46" s="28" t="s">
        <v>58</v>
      </c>
    </row>
    <row r="47" spans="1:24" ht="16" thickBot="1" x14ac:dyDescent="0.25">
      <c r="A47" s="20" t="s">
        <v>28</v>
      </c>
      <c r="B47" s="21">
        <v>21</v>
      </c>
      <c r="C47" s="22">
        <v>22</v>
      </c>
      <c r="D47" s="22">
        <v>11</v>
      </c>
      <c r="E47" s="22">
        <v>20</v>
      </c>
      <c r="F47" s="22">
        <v>17</v>
      </c>
      <c r="G47" s="22">
        <v>15</v>
      </c>
      <c r="H47" s="22">
        <v>16</v>
      </c>
      <c r="I47" s="22">
        <v>10</v>
      </c>
      <c r="J47" s="22">
        <v>20</v>
      </c>
      <c r="K47" s="22">
        <v>3</v>
      </c>
      <c r="L47" s="22"/>
      <c r="M47" s="22"/>
      <c r="N47" s="22"/>
      <c r="O47" s="23">
        <f>SUM(B47:N47)</f>
        <v>155</v>
      </c>
      <c r="P47" s="23">
        <f>SUM(C47:N47)</f>
        <v>134</v>
      </c>
      <c r="Q47" s="22">
        <v>7</v>
      </c>
      <c r="R47" s="22">
        <v>8</v>
      </c>
      <c r="S47" s="24">
        <v>420</v>
      </c>
      <c r="T47" s="25">
        <f>((B47-Q47)*0.5)+(Q47*1.5)+(P47-R47)+(R47*3)</f>
        <v>167.5</v>
      </c>
      <c r="U47" s="34">
        <f t="shared" si="13"/>
        <v>0.39880952380952384</v>
      </c>
      <c r="V47" s="34">
        <v>0.40119047619047621</v>
      </c>
      <c r="W47" s="27">
        <v>34</v>
      </c>
      <c r="X47" s="28" t="s">
        <v>58</v>
      </c>
    </row>
    <row r="48" spans="1:24" ht="16" thickBot="1" x14ac:dyDescent="0.25">
      <c r="A48" s="35"/>
      <c r="B48" s="36">
        <f t="shared" ref="B48:S48" si="16">SUM(B30:B47)</f>
        <v>443</v>
      </c>
      <c r="C48" s="37">
        <f t="shared" si="16"/>
        <v>370</v>
      </c>
      <c r="D48" s="37">
        <f t="shared" si="16"/>
        <v>384</v>
      </c>
      <c r="E48" s="37">
        <f t="shared" si="16"/>
        <v>391</v>
      </c>
      <c r="F48" s="37">
        <f t="shared" si="16"/>
        <v>414</v>
      </c>
      <c r="G48" s="37">
        <f t="shared" si="16"/>
        <v>396</v>
      </c>
      <c r="H48" s="37">
        <f t="shared" si="16"/>
        <v>456</v>
      </c>
      <c r="I48" s="37">
        <f t="shared" si="16"/>
        <v>420</v>
      </c>
      <c r="J48" s="37">
        <f t="shared" si="16"/>
        <v>477</v>
      </c>
      <c r="K48" s="37">
        <f t="shared" si="16"/>
        <v>494</v>
      </c>
      <c r="L48" s="37">
        <f t="shared" si="16"/>
        <v>384</v>
      </c>
      <c r="M48" s="37">
        <f t="shared" si="16"/>
        <v>391</v>
      </c>
      <c r="N48" s="37">
        <f t="shared" si="16"/>
        <v>437</v>
      </c>
      <c r="O48" s="37">
        <f>SUM(O30:O47)</f>
        <v>5457</v>
      </c>
      <c r="P48" s="37">
        <f t="shared" si="16"/>
        <v>5014</v>
      </c>
      <c r="Q48" s="37">
        <f t="shared" si="16"/>
        <v>78</v>
      </c>
      <c r="R48" s="37">
        <f t="shared" si="16"/>
        <v>190</v>
      </c>
      <c r="S48" s="37">
        <f t="shared" si="16"/>
        <v>8369</v>
      </c>
      <c r="T48" s="38">
        <f>SUM(T30:T47)</f>
        <v>5588.5</v>
      </c>
      <c r="U48" s="53">
        <f>T48/S48</f>
        <v>0.66776197873103116</v>
      </c>
      <c r="V48" s="54">
        <f>5464/8704</f>
        <v>0.62775735294117652</v>
      </c>
      <c r="W48" s="54">
        <f>5582/8758</f>
        <v>0.63736012788307828</v>
      </c>
      <c r="X48" s="14"/>
    </row>
    <row r="49" spans="14:21" ht="14" x14ac:dyDescent="0.15">
      <c r="N49" s="55" t="s">
        <v>72</v>
      </c>
      <c r="O49" s="56">
        <f>O48-O21</f>
        <v>160</v>
      </c>
      <c r="P49" s="57">
        <f t="shared" ref="P49:S49" si="17">P48-P21</f>
        <v>105</v>
      </c>
      <c r="Q49" s="57">
        <f t="shared" si="17"/>
        <v>-1</v>
      </c>
      <c r="R49" s="57">
        <f t="shared" si="17"/>
        <v>12</v>
      </c>
      <c r="S49" s="57">
        <f t="shared" si="17"/>
        <v>0</v>
      </c>
      <c r="T49" s="57">
        <f>T48-T21</f>
        <v>124.5</v>
      </c>
      <c r="U49" s="58">
        <f>U48-V48</f>
        <v>4.0004625789854642E-2</v>
      </c>
    </row>
    <row r="50" spans="14:21" x14ac:dyDescent="0.15">
      <c r="N50" s="15" t="s">
        <v>73</v>
      </c>
      <c r="O50" s="15">
        <f>O48-(B48/2)</f>
        <v>5235.5</v>
      </c>
    </row>
  </sheetData>
  <mergeCells count="3">
    <mergeCell ref="A1:U1"/>
    <mergeCell ref="A23:B23"/>
    <mergeCell ref="A28:U28"/>
  </mergeCells>
  <pageMargins left="0.70866141732283472" right="0.70866141732283472" top="0.74803149606299213" bottom="0.74803149606299213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22-23 Draft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Paulik</dc:creator>
  <cp:lastModifiedBy>Microsoft Office User</cp:lastModifiedBy>
  <cp:lastPrinted>2022-11-02T19:46:04Z</cp:lastPrinted>
  <dcterms:created xsi:type="dcterms:W3CDTF">2022-04-11T19:55:58Z</dcterms:created>
  <dcterms:modified xsi:type="dcterms:W3CDTF">2022-11-02T19:46:12Z</dcterms:modified>
</cp:coreProperties>
</file>